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D:\DATOS\151027-Utilidades\Estructuras\xlsEstructuras\Pozos-JimenezSalas\"/>
    </mc:Choice>
  </mc:AlternateContent>
  <bookViews>
    <workbookView xWindow="0" yWindow="0" windowWidth="16530" windowHeight="11865"/>
  </bookViews>
  <sheets>
    <sheet name="CR1 - 4.1 Nudos -Santiarios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2" i="2" l="1"/>
  <c r="K23" i="2"/>
  <c r="K24" i="2"/>
  <c r="K25" i="2"/>
  <c r="K26" i="2"/>
  <c r="K27" i="2"/>
  <c r="K28" i="2"/>
  <c r="K29" i="2"/>
  <c r="K30" i="2"/>
  <c r="K31" i="2"/>
  <c r="K32" i="2"/>
  <c r="K33" i="2"/>
  <c r="K34" i="2"/>
  <c r="K21" i="2"/>
  <c r="J22" i="2"/>
  <c r="J23" i="2"/>
  <c r="J24" i="2"/>
  <c r="J25" i="2"/>
  <c r="J26" i="2"/>
  <c r="J27" i="2"/>
  <c r="J28" i="2"/>
  <c r="J29" i="2"/>
  <c r="J30" i="2"/>
  <c r="J31" i="2"/>
  <c r="J32" i="2"/>
  <c r="J33" i="2"/>
  <c r="J34" i="2"/>
  <c r="J21" i="2"/>
  <c r="M9" i="2"/>
  <c r="I14" i="2" l="1"/>
  <c r="I13" i="2"/>
  <c r="I12" i="2"/>
  <c r="I15" i="2" l="1"/>
  <c r="I16" i="2" s="1"/>
  <c r="S6" i="2"/>
  <c r="S5" i="2" s="1"/>
  <c r="S3" i="2" s="1"/>
  <c r="R21" i="2"/>
  <c r="S22" i="2"/>
  <c r="R22" i="2"/>
  <c r="R23" i="2"/>
  <c r="R24" i="2"/>
  <c r="S25" i="2"/>
  <c r="R25" i="2"/>
  <c r="R26" i="2"/>
  <c r="S27" i="2"/>
  <c r="R27" i="2"/>
  <c r="R28" i="2"/>
  <c r="R29" i="2"/>
  <c r="S30" i="2"/>
  <c r="R30" i="2"/>
  <c r="S31" i="2"/>
  <c r="R31" i="2"/>
  <c r="S32" i="2"/>
  <c r="R32" i="2"/>
  <c r="S33" i="2"/>
  <c r="R33" i="2"/>
  <c r="S34" i="2"/>
  <c r="R34" i="2"/>
  <c r="M11" i="2"/>
  <c r="M8" i="2"/>
  <c r="Q25" i="2" l="1"/>
  <c r="Q33" i="2"/>
  <c r="Q28" i="2"/>
  <c r="Q24" i="2"/>
  <c r="Q26" i="2"/>
  <c r="Q34" i="2"/>
  <c r="Q27" i="2"/>
  <c r="Q21" i="2"/>
  <c r="Q22" i="2"/>
  <c r="Q30" i="2"/>
  <c r="Q23" i="2"/>
  <c r="Q32" i="2"/>
  <c r="Q29" i="2"/>
  <c r="Q31" i="2"/>
  <c r="L21" i="2"/>
  <c r="S24" i="2"/>
  <c r="S29" i="2"/>
  <c r="S26" i="2"/>
  <c r="S23" i="2"/>
  <c r="S28" i="2"/>
  <c r="S21" i="2"/>
  <c r="J18" i="2"/>
  <c r="K18" i="2"/>
  <c r="S8" i="2"/>
  <c r="S9" i="2"/>
  <c r="L28" i="2"/>
  <c r="L29" i="2"/>
  <c r="L30" i="2"/>
  <c r="L31" i="2"/>
  <c r="L22" i="2"/>
  <c r="L32" i="2"/>
  <c r="L33" i="2"/>
  <c r="L34" i="2"/>
  <c r="L24" i="2"/>
  <c r="L27" i="2"/>
  <c r="L26" i="2"/>
  <c r="L23" i="2"/>
  <c r="L25" i="2"/>
  <c r="M4" i="2"/>
  <c r="M5" i="2"/>
  <c r="M26" i="2" s="1"/>
  <c r="I9" i="2"/>
  <c r="Q18" i="2" l="1"/>
  <c r="N26" i="2"/>
  <c r="N34" i="2"/>
  <c r="N21" i="2"/>
  <c r="N22" i="2"/>
  <c r="N31" i="2"/>
  <c r="N25" i="2"/>
  <c r="O25" i="2" s="1"/>
  <c r="P25" i="2" s="1"/>
  <c r="N27" i="2"/>
  <c r="N28" i="2"/>
  <c r="N29" i="2"/>
  <c r="N30" i="2"/>
  <c r="N32" i="2"/>
  <c r="N33" i="2"/>
  <c r="N23" i="2"/>
  <c r="N24" i="2"/>
  <c r="M24" i="2"/>
  <c r="M23" i="2"/>
  <c r="M29" i="2"/>
  <c r="M25" i="2"/>
  <c r="M33" i="2"/>
  <c r="M27" i="2"/>
  <c r="M21" i="2"/>
  <c r="M30" i="2"/>
  <c r="M34" i="2"/>
  <c r="M32" i="2"/>
  <c r="M31" i="2"/>
  <c r="M22" i="2"/>
  <c r="M28" i="2"/>
  <c r="M10" i="2"/>
  <c r="O33" i="2" l="1"/>
  <c r="P33" i="2" s="1"/>
  <c r="O22" i="2"/>
  <c r="P22" i="2" s="1"/>
  <c r="O31" i="2"/>
  <c r="P31" i="2" s="1"/>
  <c r="O27" i="2"/>
  <c r="P27" i="2" s="1"/>
  <c r="O23" i="2"/>
  <c r="P23" i="2" s="1"/>
  <c r="O21" i="2"/>
  <c r="P21" i="2" s="1"/>
  <c r="O34" i="2"/>
  <c r="P34" i="2" s="1"/>
  <c r="O29" i="2"/>
  <c r="P29" i="2" s="1"/>
  <c r="O26" i="2"/>
  <c r="P26" i="2" s="1"/>
  <c r="O32" i="2"/>
  <c r="P32" i="2" s="1"/>
  <c r="O24" i="2"/>
  <c r="P24" i="2" s="1"/>
  <c r="O30" i="2"/>
  <c r="P30" i="2" s="1"/>
  <c r="O28" i="2"/>
  <c r="P28" i="2" s="1"/>
</calcChain>
</file>

<file path=xl/sharedStrings.xml><?xml version="1.0" encoding="utf-8"?>
<sst xmlns="http://schemas.openxmlformats.org/spreadsheetml/2006/main" count="120" uniqueCount="100">
  <si>
    <t>Nudo</t>
  </si>
  <si>
    <t>Esfuerzos en apoyos [kN]</t>
  </si>
  <si>
    <t>Momentos en apoyos [kNm]</t>
  </si>
  <si>
    <t>núm.</t>
  </si>
  <si>
    <t>Max</t>
  </si>
  <si>
    <t>Min</t>
  </si>
  <si>
    <t>CO 257</t>
  </si>
  <si>
    <t>CO 50</t>
  </si>
  <si>
    <t>CO 46</t>
  </si>
  <si>
    <t>SUMA VECTOR Px + Pxy</t>
  </si>
  <si>
    <t>Combinación</t>
  </si>
  <si>
    <t>SigmaP=</t>
  </si>
  <si>
    <t>kgf/cm²</t>
  </si>
  <si>
    <t>SigmaF=</t>
  </si>
  <si>
    <t>Verificación a compresión</t>
  </si>
  <si>
    <t>Qmax P=</t>
  </si>
  <si>
    <t>kgf</t>
  </si>
  <si>
    <t>Qmax F=</t>
  </si>
  <si>
    <t>Q total =</t>
  </si>
  <si>
    <t>Peso unitario pilote=</t>
  </si>
  <si>
    <t>kgf/m³</t>
  </si>
  <si>
    <t>Gpilote=</t>
  </si>
  <si>
    <t>Verificación a tracción</t>
  </si>
  <si>
    <t>Recubrimiento rc=</t>
  </si>
  <si>
    <t>d1 / d=</t>
  </si>
  <si>
    <t>Geotecnica</t>
  </si>
  <si>
    <t>Hormigon armado</t>
  </si>
  <si>
    <t>Lateral</t>
  </si>
  <si>
    <t>grados</t>
  </si>
  <si>
    <t>Ángulo de fricción interno=</t>
  </si>
  <si>
    <t>Fricción terreno campana=</t>
  </si>
  <si>
    <t>Adherencia terreno campana=</t>
  </si>
  <si>
    <t>ad.</t>
  </si>
  <si>
    <t>Coeficiente de empuje en reposo=</t>
  </si>
  <si>
    <t>Fricción+Adherencia base</t>
  </si>
  <si>
    <t>Peso unitario del suelo=</t>
  </si>
  <si>
    <t>kgf/cm³</t>
  </si>
  <si>
    <t>kgf/cm² - Capacidad de carga de punta.</t>
  </si>
  <si>
    <t>kgf/cm² - Capacidad de carga de fuste.</t>
  </si>
  <si>
    <t>Total</t>
  </si>
  <si>
    <t>Reacción lateral (kgf)</t>
  </si>
  <si>
    <t>Verificación</t>
  </si>
  <si>
    <t>Coeficiente de seguridad equilibrio=</t>
  </si>
  <si>
    <t>Diámetro campana - Dc=</t>
  </si>
  <si>
    <t>Diámetro pózo - Dp=</t>
  </si>
  <si>
    <t>Profundidad de fundación - Df=</t>
  </si>
  <si>
    <t>Profundidad considerada con fricción - Dlateral=</t>
  </si>
  <si>
    <t>Resistencia del hormigón - Beta R=</t>
  </si>
  <si>
    <t>Resistencia del acero - Sigma S=</t>
  </si>
  <si>
    <t>CO 249</t>
  </si>
  <si>
    <t>CO 254</t>
  </si>
  <si>
    <t>n = N / Ab x Beta R)</t>
  </si>
  <si>
    <t>n = M / Ab x Dp x Beta R)</t>
  </si>
  <si>
    <t>Q</t>
  </si>
  <si>
    <t>M</t>
  </si>
  <si>
    <t>m</t>
  </si>
  <si>
    <t>CO 1</t>
  </si>
  <si>
    <t>Max a compresión:</t>
  </si>
  <si>
    <t>Max a tracción:</t>
  </si>
  <si>
    <t>Cuantia mínima:</t>
  </si>
  <si>
    <t>Acero a colocar(cm²):</t>
  </si>
  <si>
    <t>Diametro a utilizar(mm):</t>
  </si>
  <si>
    <t>Cantidad de varillas:</t>
  </si>
  <si>
    <t>Estribos:</t>
  </si>
  <si>
    <t>6mm c/15cm</t>
  </si>
  <si>
    <r>
      <t>Cuantia necesaria (</t>
    </r>
    <r>
      <rPr>
        <sz val="8"/>
        <color theme="1"/>
        <rFont val="Symbol"/>
        <family val="1"/>
        <charset val="2"/>
      </rPr>
      <t>w</t>
    </r>
    <r>
      <rPr>
        <sz val="8"/>
        <color theme="1"/>
        <rFont val="Calibri"/>
        <family val="2"/>
        <scheme val="minor"/>
      </rPr>
      <t>o*</t>
    </r>
    <r>
      <rPr>
        <sz val="8"/>
        <color theme="1"/>
        <rFont val="Symbol"/>
        <family val="1"/>
        <charset val="2"/>
      </rPr>
      <t>b</t>
    </r>
    <r>
      <rPr>
        <sz val="8"/>
        <color theme="1"/>
        <rFont val="Calibri"/>
        <family val="2"/>
        <scheme val="minor"/>
      </rPr>
      <t>r/</t>
    </r>
    <r>
      <rPr>
        <sz val="8"/>
        <color theme="1"/>
        <rFont val="Symbol"/>
        <family val="1"/>
        <charset val="2"/>
      </rPr>
      <t>b</t>
    </r>
    <r>
      <rPr>
        <sz val="8"/>
        <color theme="1"/>
        <rFont val="Calibri"/>
        <family val="2"/>
        <scheme val="minor"/>
      </rPr>
      <t>s):</t>
    </r>
  </si>
  <si>
    <t>Adoptamos  armado longitudinal:</t>
  </si>
  <si>
    <r>
      <t xml:space="preserve">8 </t>
    </r>
    <r>
      <rPr>
        <sz val="8"/>
        <color theme="1"/>
        <rFont val="Symbol"/>
        <family val="1"/>
        <charset val="2"/>
      </rPr>
      <t>f</t>
    </r>
    <r>
      <rPr>
        <sz val="8"/>
        <color theme="1"/>
        <rFont val="Calibri"/>
        <family val="2"/>
        <scheme val="minor"/>
      </rPr>
      <t xml:space="preserve"> 12</t>
    </r>
  </si>
  <si>
    <t>Maximos</t>
  </si>
  <si>
    <t>Balasto vertical=</t>
  </si>
  <si>
    <t>(Terzagui-Broms) Balasto horizontal=</t>
  </si>
  <si>
    <t xml:space="preserve"> (aprox, libro Jimenez Salas) Módulo Eo del terreno=</t>
  </si>
  <si>
    <t>H/L=</t>
  </si>
  <si>
    <t>F=</t>
  </si>
  <si>
    <r>
      <rPr>
        <sz val="8"/>
        <color theme="1"/>
        <rFont val="Symbol"/>
        <family val="1"/>
        <charset val="2"/>
      </rPr>
      <t>h=</t>
    </r>
    <r>
      <rPr>
        <sz val="8"/>
        <color theme="1"/>
        <rFont val="Calibri Light"/>
        <family val="2"/>
        <scheme val="major"/>
      </rPr>
      <t>Kh/Kv</t>
    </r>
    <r>
      <rPr>
        <sz val="8"/>
        <color theme="1"/>
        <rFont val="Calibri"/>
        <family val="2"/>
        <scheme val="minor"/>
      </rPr>
      <t>=</t>
    </r>
  </si>
  <si>
    <t>Despreciamos la colaboración de la base en absorver M y Q (Jimenez Salas - Tomo III - Pag 175)</t>
  </si>
  <si>
    <t>Tensión Lat</t>
  </si>
  <si>
    <t>SOLO PILOTE CIRCULAR</t>
  </si>
  <si>
    <t>Max tensión lateral</t>
  </si>
  <si>
    <t>DATOS DESDE RFEM</t>
  </si>
  <si>
    <t>Verificación del hormigon</t>
  </si>
  <si>
    <r>
      <t>P</t>
    </r>
    <r>
      <rPr>
        <vertAlign val="subscript"/>
        <sz val="8"/>
        <color theme="5"/>
        <rFont val="Calibri"/>
        <family val="2"/>
        <scheme val="minor"/>
      </rPr>
      <t>X'</t>
    </r>
  </si>
  <si>
    <r>
      <t>P</t>
    </r>
    <r>
      <rPr>
        <vertAlign val="subscript"/>
        <sz val="8"/>
        <color theme="5"/>
        <rFont val="Calibri"/>
        <family val="2"/>
        <scheme val="minor"/>
      </rPr>
      <t>Y'</t>
    </r>
  </si>
  <si>
    <r>
      <t>P</t>
    </r>
    <r>
      <rPr>
        <vertAlign val="subscript"/>
        <sz val="8"/>
        <color theme="5"/>
        <rFont val="Calibri"/>
        <family val="2"/>
        <scheme val="minor"/>
      </rPr>
      <t>Z'</t>
    </r>
  </si>
  <si>
    <r>
      <t>M</t>
    </r>
    <r>
      <rPr>
        <vertAlign val="subscript"/>
        <sz val="8"/>
        <color theme="5"/>
        <rFont val="Calibri"/>
        <family val="2"/>
        <scheme val="minor"/>
      </rPr>
      <t>X'</t>
    </r>
  </si>
  <si>
    <r>
      <t>M</t>
    </r>
    <r>
      <rPr>
        <vertAlign val="subscript"/>
        <sz val="8"/>
        <color theme="5"/>
        <rFont val="Calibri"/>
        <family val="2"/>
        <scheme val="minor"/>
      </rPr>
      <t>Y'</t>
    </r>
  </si>
  <si>
    <r>
      <t>M</t>
    </r>
    <r>
      <rPr>
        <vertAlign val="subscript"/>
        <sz val="8"/>
        <color theme="5"/>
        <rFont val="Calibri"/>
        <family val="2"/>
        <scheme val="minor"/>
      </rPr>
      <t>Z'</t>
    </r>
  </si>
  <si>
    <r>
      <t>Max P</t>
    </r>
    <r>
      <rPr>
        <vertAlign val="subscript"/>
        <sz val="8"/>
        <color theme="5"/>
        <rFont val="Calibri"/>
        <family val="2"/>
        <scheme val="minor"/>
      </rPr>
      <t>X'</t>
    </r>
  </si>
  <si>
    <r>
      <t>Min P</t>
    </r>
    <r>
      <rPr>
        <vertAlign val="subscript"/>
        <sz val="8"/>
        <color theme="5"/>
        <rFont val="Calibri"/>
        <family val="2"/>
        <scheme val="minor"/>
      </rPr>
      <t>X'</t>
    </r>
  </si>
  <si>
    <r>
      <t>Max P</t>
    </r>
    <r>
      <rPr>
        <vertAlign val="subscript"/>
        <sz val="8"/>
        <color theme="5"/>
        <rFont val="Calibri"/>
        <family val="2"/>
        <scheme val="minor"/>
      </rPr>
      <t>Y'</t>
    </r>
  </si>
  <si>
    <r>
      <t>Min P</t>
    </r>
    <r>
      <rPr>
        <vertAlign val="subscript"/>
        <sz val="8"/>
        <color theme="5"/>
        <rFont val="Calibri"/>
        <family val="2"/>
        <scheme val="minor"/>
      </rPr>
      <t>Y'</t>
    </r>
  </si>
  <si>
    <r>
      <t>Max P</t>
    </r>
    <r>
      <rPr>
        <vertAlign val="subscript"/>
        <sz val="8"/>
        <color theme="5"/>
        <rFont val="Calibri"/>
        <family val="2"/>
        <scheme val="minor"/>
      </rPr>
      <t>Z'</t>
    </r>
  </si>
  <si>
    <r>
      <t>Min P</t>
    </r>
    <r>
      <rPr>
        <vertAlign val="subscript"/>
        <sz val="8"/>
        <color theme="5"/>
        <rFont val="Calibri"/>
        <family val="2"/>
        <scheme val="minor"/>
      </rPr>
      <t>Z'</t>
    </r>
  </si>
  <si>
    <r>
      <t>Max M</t>
    </r>
    <r>
      <rPr>
        <vertAlign val="subscript"/>
        <sz val="8"/>
        <color theme="5"/>
        <rFont val="Calibri"/>
        <family val="2"/>
        <scheme val="minor"/>
      </rPr>
      <t>X'</t>
    </r>
  </si>
  <si>
    <r>
      <t>Min M</t>
    </r>
    <r>
      <rPr>
        <vertAlign val="subscript"/>
        <sz val="8"/>
        <color theme="5"/>
        <rFont val="Calibri"/>
        <family val="2"/>
        <scheme val="minor"/>
      </rPr>
      <t>X'</t>
    </r>
  </si>
  <si>
    <r>
      <t>Max M</t>
    </r>
    <r>
      <rPr>
        <vertAlign val="subscript"/>
        <sz val="8"/>
        <color theme="5"/>
        <rFont val="Calibri"/>
        <family val="2"/>
        <scheme val="minor"/>
      </rPr>
      <t>Y'</t>
    </r>
  </si>
  <si>
    <r>
      <t>Min M</t>
    </r>
    <r>
      <rPr>
        <vertAlign val="subscript"/>
        <sz val="8"/>
        <color theme="5"/>
        <rFont val="Calibri"/>
        <family val="2"/>
        <scheme val="minor"/>
      </rPr>
      <t>Y'</t>
    </r>
  </si>
  <si>
    <r>
      <t>Max M</t>
    </r>
    <r>
      <rPr>
        <vertAlign val="subscript"/>
        <sz val="8"/>
        <color theme="5"/>
        <rFont val="Calibri"/>
        <family val="2"/>
        <scheme val="minor"/>
      </rPr>
      <t>Z'</t>
    </r>
  </si>
  <si>
    <r>
      <t>Min M</t>
    </r>
    <r>
      <rPr>
        <vertAlign val="subscript"/>
        <sz val="8"/>
        <color theme="5"/>
        <rFont val="Calibri"/>
        <family val="2"/>
        <scheme val="minor"/>
      </rPr>
      <t>Z'</t>
    </r>
  </si>
  <si>
    <t>dato a ingresar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</si>
</sst>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0.00000"/>
    <numFmt numFmtId="166" formatCode="0.000"/>
    <numFmt numFmtId="167" formatCode="0.0000"/>
  </numFmts>
  <fonts count="13">
    <font>
      <sz val="11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color theme="1"/>
      <name val="Symbol"/>
      <family val="1"/>
      <charset val="2"/>
    </font>
    <font>
      <sz val="8"/>
      <color theme="1"/>
      <name val="Calibri"/>
      <family val="1"/>
      <charset val="2"/>
      <scheme val="minor"/>
    </font>
    <font>
      <sz val="8"/>
      <color theme="1"/>
      <name val="Calibri Light"/>
      <family val="2"/>
      <scheme val="major"/>
    </font>
    <font>
      <b/>
      <sz val="9"/>
      <color theme="0"/>
      <name val="Calibri"/>
      <family val="2"/>
      <scheme val="minor"/>
    </font>
    <font>
      <b/>
      <sz val="11"/>
      <color theme="5"/>
      <name val="Calibri"/>
      <family val="2"/>
      <scheme val="minor"/>
    </font>
    <font>
      <sz val="8"/>
      <color theme="5"/>
      <name val="Calibri"/>
      <family val="2"/>
      <scheme val="minor"/>
    </font>
    <font>
      <vertAlign val="subscript"/>
      <sz val="8"/>
      <color theme="5"/>
      <name val="Calibri"/>
      <family val="2"/>
      <scheme val="minor"/>
    </font>
    <font>
      <b/>
      <sz val="8"/>
      <color theme="5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969696"/>
      </left>
      <right style="thin">
        <color rgb="FF969696"/>
      </right>
      <top/>
      <bottom style="thin">
        <color rgb="FF969696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 style="thin">
        <color rgb="FF969696"/>
      </left>
      <right/>
      <top/>
      <bottom style="thin">
        <color rgb="FF969696"/>
      </bottom>
      <diagonal/>
    </border>
    <border>
      <left/>
      <right style="thin">
        <color rgb="FF969696"/>
      </right>
      <top/>
      <bottom style="thin">
        <color rgb="FF969696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/>
      <bottom style="double">
        <color rgb="FF3F3F3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969696"/>
      </left>
      <right style="thin">
        <color rgb="FF969696"/>
      </right>
      <top/>
      <bottom/>
      <diagonal/>
    </border>
    <border>
      <left style="thin">
        <color rgb="FF969696"/>
      </left>
      <right/>
      <top/>
      <bottom/>
      <diagonal/>
    </border>
    <border>
      <left/>
      <right style="thin">
        <color rgb="FF969696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C000"/>
      </left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 style="thick">
        <color rgb="FFFFC000"/>
      </right>
      <top/>
      <bottom/>
      <diagonal/>
    </border>
    <border>
      <left style="thick">
        <color rgb="FFFFC000"/>
      </left>
      <right style="thick">
        <color rgb="FFFFC000"/>
      </right>
      <top/>
      <bottom style="thick">
        <color rgb="FFFFC000"/>
      </bottom>
      <diagonal/>
    </border>
    <border>
      <left style="thick">
        <color theme="7"/>
      </left>
      <right style="thick">
        <color theme="7"/>
      </right>
      <top style="thick">
        <color theme="7"/>
      </top>
      <bottom style="thick">
        <color theme="7"/>
      </bottom>
      <diagonal/>
    </border>
    <border>
      <left style="thick">
        <color theme="7"/>
      </left>
      <right style="thick">
        <color theme="7"/>
      </right>
      <top style="thick">
        <color theme="7"/>
      </top>
      <bottom/>
      <diagonal/>
    </border>
    <border>
      <left style="thick">
        <color theme="7"/>
      </left>
      <right style="thick">
        <color theme="7"/>
      </right>
      <top/>
      <bottom/>
      <diagonal/>
    </border>
    <border>
      <left style="thick">
        <color theme="7"/>
      </left>
      <right style="thick">
        <color theme="7"/>
      </right>
      <top/>
      <bottom style="thick">
        <color theme="7"/>
      </bottom>
      <diagonal/>
    </border>
    <border>
      <left style="thick">
        <color theme="7"/>
      </left>
      <right/>
      <top style="thick">
        <color theme="7"/>
      </top>
      <bottom style="thick">
        <color theme="7"/>
      </bottom>
      <diagonal/>
    </border>
    <border>
      <left/>
      <right/>
      <top style="thick">
        <color theme="7"/>
      </top>
      <bottom style="thick">
        <color theme="7"/>
      </bottom>
      <diagonal/>
    </border>
    <border>
      <left/>
      <right style="thick">
        <color theme="7"/>
      </right>
      <top style="thick">
        <color theme="7"/>
      </top>
      <bottom style="thick">
        <color theme="7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4" fillId="6" borderId="5" applyNumberFormat="0" applyAlignment="0" applyProtection="0"/>
  </cellStyleXfs>
  <cellXfs count="86">
    <xf numFmtId="0" fontId="0" fillId="0" borderId="0" xfId="0"/>
    <xf numFmtId="2" fontId="0" fillId="0" borderId="0" xfId="0" applyNumberFormat="1"/>
    <xf numFmtId="2" fontId="0" fillId="0" borderId="0" xfId="0" applyNumberFormat="1" applyAlignment="1">
      <alignment horizontal="right"/>
    </xf>
    <xf numFmtId="2" fontId="1" fillId="2" borderId="1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 applyAlignment="1">
      <alignment horizontal="left"/>
    </xf>
    <xf numFmtId="0" fontId="0" fillId="4" borderId="0" xfId="0" applyNumberFormat="1" applyFill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2" fontId="1" fillId="2" borderId="4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right"/>
    </xf>
    <xf numFmtId="165" fontId="2" fillId="3" borderId="2" xfId="0" applyNumberFormat="1" applyFont="1" applyFill="1" applyBorder="1" applyAlignment="1">
      <alignment horizontal="center"/>
    </xf>
    <xf numFmtId="0" fontId="2" fillId="5" borderId="0" xfId="0" applyNumberFormat="1" applyFont="1" applyFill="1" applyAlignment="1">
      <alignment horizontal="right"/>
    </xf>
    <xf numFmtId="2" fontId="1" fillId="2" borderId="3" xfId="0" applyNumberFormat="1" applyFont="1" applyFill="1" applyBorder="1" applyAlignment="1">
      <alignment horizontal="center"/>
    </xf>
    <xf numFmtId="1" fontId="2" fillId="0" borderId="0" xfId="0" applyNumberFormat="1" applyFont="1" applyAlignment="1">
      <alignment horizontal="right"/>
    </xf>
    <xf numFmtId="0" fontId="2" fillId="5" borderId="0" xfId="0" applyNumberFormat="1" applyFont="1" applyFill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2" fontId="2" fillId="5" borderId="0" xfId="0" applyNumberFormat="1" applyFont="1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1" fontId="2" fillId="5" borderId="0" xfId="0" applyNumberFormat="1" applyFont="1" applyFill="1" applyAlignment="1">
      <alignment horizontal="center"/>
    </xf>
    <xf numFmtId="167" fontId="2" fillId="0" borderId="0" xfId="0" applyNumberFormat="1" applyFont="1" applyAlignment="1">
      <alignment horizontal="left"/>
    </xf>
    <xf numFmtId="10" fontId="2" fillId="0" borderId="0" xfId="1" applyNumberFormat="1" applyFont="1" applyAlignment="1">
      <alignment horizontal="left"/>
    </xf>
    <xf numFmtId="2" fontId="4" fillId="6" borderId="5" xfId="2" applyNumberFormat="1" applyAlignment="1">
      <alignment horizontal="center"/>
    </xf>
    <xf numFmtId="2" fontId="4" fillId="6" borderId="5" xfId="2" applyNumberFormat="1" applyAlignment="1">
      <alignment horizontal="center"/>
    </xf>
    <xf numFmtId="0" fontId="2" fillId="0" borderId="0" xfId="0" applyNumberFormat="1" applyFont="1" applyFill="1" applyAlignment="1">
      <alignment horizontal="right"/>
    </xf>
    <xf numFmtId="1" fontId="2" fillId="0" borderId="0" xfId="0" applyNumberFormat="1" applyFont="1" applyFill="1" applyAlignment="1">
      <alignment horizontal="center"/>
    </xf>
    <xf numFmtId="0" fontId="2" fillId="5" borderId="0" xfId="0" applyNumberFormat="1" applyFont="1" applyFill="1" applyAlignment="1">
      <alignment horizontal="left"/>
    </xf>
    <xf numFmtId="166" fontId="2" fillId="5" borderId="0" xfId="0" applyNumberFormat="1" applyFont="1" applyFill="1" applyAlignment="1">
      <alignment horizontal="left"/>
    </xf>
    <xf numFmtId="1" fontId="2" fillId="5" borderId="0" xfId="0" applyNumberFormat="1" applyFont="1" applyFill="1" applyAlignment="1">
      <alignment horizontal="right"/>
    </xf>
    <xf numFmtId="167" fontId="2" fillId="5" borderId="0" xfId="0" applyNumberFormat="1" applyFont="1" applyFill="1" applyAlignment="1">
      <alignment horizontal="left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/>
    </xf>
    <xf numFmtId="2" fontId="0" fillId="0" borderId="8" xfId="0" applyNumberFormat="1" applyBorder="1" applyAlignment="1">
      <alignment horizontal="center"/>
    </xf>
    <xf numFmtId="49" fontId="2" fillId="0" borderId="0" xfId="0" applyNumberFormat="1" applyFont="1" applyAlignment="1">
      <alignment horizontal="right"/>
    </xf>
    <xf numFmtId="2" fontId="2" fillId="0" borderId="0" xfId="0" applyNumberFormat="1" applyFont="1" applyFill="1" applyAlignment="1">
      <alignment horizontal="right"/>
    </xf>
    <xf numFmtId="2" fontId="2" fillId="0" borderId="0" xfId="0" applyNumberFormat="1" applyFont="1" applyFill="1" applyAlignment="1">
      <alignment horizontal="left"/>
    </xf>
    <xf numFmtId="2" fontId="2" fillId="5" borderId="0" xfId="0" applyNumberFormat="1" applyFont="1" applyFill="1" applyAlignment="1">
      <alignment horizontal="right"/>
    </xf>
    <xf numFmtId="0" fontId="6" fillId="5" borderId="0" xfId="0" applyNumberFormat="1" applyFont="1" applyFill="1" applyAlignment="1">
      <alignment horizontal="right"/>
    </xf>
    <xf numFmtId="2" fontId="2" fillId="5" borderId="0" xfId="0" applyNumberFormat="1" applyFont="1" applyFill="1" applyAlignment="1">
      <alignment horizontal="left"/>
    </xf>
    <xf numFmtId="2" fontId="2" fillId="0" borderId="0" xfId="0" applyNumberFormat="1" applyFont="1" applyFill="1" applyAlignment="1">
      <alignment horizontal="center"/>
    </xf>
    <xf numFmtId="2" fontId="4" fillId="6" borderId="9" xfId="2" applyNumberFormat="1" applyBorder="1" applyAlignment="1">
      <alignment horizontal="center"/>
    </xf>
    <xf numFmtId="2" fontId="0" fillId="4" borderId="11" xfId="0" applyNumberFormat="1" applyFill="1" applyBorder="1" applyAlignment="1">
      <alignment horizontal="center"/>
    </xf>
    <xf numFmtId="0" fontId="2" fillId="9" borderId="10" xfId="0" applyNumberFormat="1" applyFont="1" applyFill="1" applyBorder="1" applyAlignment="1">
      <alignment horizontal="center"/>
    </xf>
    <xf numFmtId="0" fontId="2" fillId="7" borderId="6" xfId="0" applyNumberFormat="1" applyFont="1" applyFill="1" applyBorder="1" applyAlignment="1">
      <alignment horizontal="center"/>
    </xf>
    <xf numFmtId="0" fontId="2" fillId="7" borderId="7" xfId="0" applyNumberFormat="1" applyFont="1" applyFill="1" applyBorder="1" applyAlignment="1">
      <alignment horizontal="center"/>
    </xf>
    <xf numFmtId="0" fontId="0" fillId="4" borderId="0" xfId="0" applyNumberFormat="1" applyFill="1" applyAlignment="1">
      <alignment horizontal="center"/>
    </xf>
    <xf numFmtId="2" fontId="4" fillId="6" borderId="5" xfId="2" applyNumberFormat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0" fontId="2" fillId="5" borderId="19" xfId="0" applyNumberFormat="1" applyFont="1" applyFill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2" fillId="5" borderId="20" xfId="0" applyNumberFormat="1" applyFont="1" applyFill="1" applyBorder="1" applyAlignment="1">
      <alignment horizontal="center"/>
    </xf>
    <xf numFmtId="0" fontId="2" fillId="0" borderId="21" xfId="0" applyNumberFormat="1" applyFont="1" applyBorder="1" applyAlignment="1">
      <alignment horizontal="center"/>
    </xf>
    <xf numFmtId="0" fontId="2" fillId="0" borderId="22" xfId="0" applyNumberFormat="1" applyFont="1" applyFill="1" applyBorder="1" applyAlignment="1">
      <alignment horizontal="center"/>
    </xf>
    <xf numFmtId="0" fontId="2" fillId="5" borderId="23" xfId="0" applyNumberFormat="1" applyFont="1" applyFill="1" applyBorder="1" applyAlignment="1">
      <alignment horizontal="center"/>
    </xf>
    <xf numFmtId="0" fontId="2" fillId="0" borderId="24" xfId="0" applyNumberFormat="1" applyFont="1" applyBorder="1" applyAlignment="1">
      <alignment horizontal="center"/>
    </xf>
    <xf numFmtId="0" fontId="2" fillId="5" borderId="24" xfId="0" applyNumberFormat="1" applyFont="1" applyFill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2" fillId="5" borderId="22" xfId="0" applyNumberFormat="1" applyFont="1" applyFill="1" applyBorder="1" applyAlignment="1">
      <alignment horizontal="center"/>
    </xf>
    <xf numFmtId="0" fontId="2" fillId="5" borderId="23" xfId="0" applyNumberFormat="1" applyFont="1" applyFill="1" applyBorder="1" applyAlignment="1">
      <alignment horizontal="left"/>
    </xf>
    <xf numFmtId="0" fontId="2" fillId="0" borderId="25" xfId="0" applyNumberFormat="1" applyFont="1" applyBorder="1" applyAlignment="1">
      <alignment horizontal="left"/>
    </xf>
    <xf numFmtId="0" fontId="2" fillId="0" borderId="22" xfId="0" applyNumberFormat="1" applyFont="1" applyBorder="1" applyAlignment="1">
      <alignment horizontal="left"/>
    </xf>
    <xf numFmtId="0" fontId="2" fillId="5" borderId="22" xfId="0" applyNumberFormat="1" applyFont="1" applyFill="1" applyBorder="1" applyAlignment="1">
      <alignment horizontal="left"/>
    </xf>
    <xf numFmtId="0" fontId="9" fillId="10" borderId="16" xfId="0" applyNumberFormat="1" applyFont="1" applyFill="1" applyBorder="1" applyAlignment="1">
      <alignment horizontal="center"/>
    </xf>
    <xf numFmtId="0" fontId="9" fillId="10" borderId="17" xfId="0" applyNumberFormat="1" applyFont="1" applyFill="1" applyBorder="1" applyAlignment="1">
      <alignment horizontal="center"/>
    </xf>
    <xf numFmtId="0" fontId="9" fillId="10" borderId="18" xfId="0" applyNumberFormat="1" applyFont="1" applyFill="1" applyBorder="1" applyAlignment="1">
      <alignment horizontal="center"/>
    </xf>
    <xf numFmtId="2" fontId="10" fillId="2" borderId="13" xfId="0" applyNumberFormat="1" applyFont="1" applyFill="1" applyBorder="1" applyAlignment="1">
      <alignment horizontal="center"/>
    </xf>
    <xf numFmtId="49" fontId="10" fillId="2" borderId="13" xfId="0" applyNumberFormat="1" applyFont="1" applyFill="1" applyBorder="1" applyAlignment="1">
      <alignment horizontal="center"/>
    </xf>
    <xf numFmtId="2" fontId="10" fillId="2" borderId="14" xfId="0" applyNumberFormat="1" applyFont="1" applyFill="1" applyBorder="1" applyAlignment="1">
      <alignment horizontal="center"/>
    </xf>
    <xf numFmtId="2" fontId="10" fillId="2" borderId="0" xfId="0" applyNumberFormat="1" applyFont="1" applyFill="1" applyBorder="1" applyAlignment="1">
      <alignment horizontal="center"/>
    </xf>
    <xf numFmtId="2" fontId="10" fillId="2" borderId="15" xfId="0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49" fontId="10" fillId="2" borderId="1" xfId="0" applyNumberFormat="1" applyFont="1" applyFill="1" applyBorder="1" applyAlignment="1">
      <alignment horizontal="center"/>
    </xf>
    <xf numFmtId="1" fontId="10" fillId="2" borderId="2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/>
    </xf>
    <xf numFmtId="2" fontId="10" fillId="3" borderId="2" xfId="0" applyNumberFormat="1" applyFont="1" applyFill="1" applyBorder="1" applyAlignment="1">
      <alignment horizontal="right"/>
    </xf>
    <xf numFmtId="49" fontId="10" fillId="3" borderId="2" xfId="0" applyNumberFormat="1" applyFont="1" applyFill="1" applyBorder="1" applyAlignment="1">
      <alignment horizontal="left"/>
    </xf>
    <xf numFmtId="2" fontId="12" fillId="3" borderId="2" xfId="0" applyNumberFormat="1" applyFont="1" applyFill="1" applyBorder="1" applyAlignment="1">
      <alignment horizontal="right"/>
    </xf>
    <xf numFmtId="0" fontId="2" fillId="0" borderId="26" xfId="0" applyNumberFormat="1" applyFont="1" applyBorder="1" applyAlignment="1">
      <alignment horizontal="center"/>
    </xf>
    <xf numFmtId="0" fontId="2" fillId="0" borderId="27" xfId="0" applyNumberFormat="1" applyFont="1" applyBorder="1" applyAlignment="1">
      <alignment horizontal="center"/>
    </xf>
    <xf numFmtId="0" fontId="2" fillId="0" borderId="28" xfId="0" applyNumberFormat="1" applyFont="1" applyBorder="1" applyAlignment="1">
      <alignment horizontal="center"/>
    </xf>
    <xf numFmtId="0" fontId="8" fillId="8" borderId="0" xfId="0" applyNumberFormat="1" applyFont="1" applyFill="1" applyAlignment="1">
      <alignment horizontal="center" vertical="center" wrapText="1"/>
    </xf>
  </cellXfs>
  <cellStyles count="3">
    <cellStyle name="Celda de comprobación" xfId="2" builtinId="23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17319</xdr:colOff>
      <xdr:row>0</xdr:row>
      <xdr:rowOff>0</xdr:rowOff>
    </xdr:from>
    <xdr:to>
      <xdr:col>25</xdr:col>
      <xdr:colOff>712644</xdr:colOff>
      <xdr:row>36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93933" y="0"/>
          <a:ext cx="5111462" cy="6734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zoomScale="110" zoomScaleNormal="110" workbookViewId="0">
      <pane ySplit="20" topLeftCell="A21" activePane="bottomLeft" state="frozen"/>
      <selection pane="bottomLeft" activeCell="B8" sqref="B8"/>
    </sheetView>
  </sheetViews>
  <sheetFormatPr baseColWidth="10" defaultColWidth="11" defaultRowHeight="15"/>
  <cols>
    <col min="1" max="1" width="4.28515625" style="5" bestFit="1" customWidth="1"/>
    <col min="2" max="2" width="5.42578125" style="19" bestFit="1" customWidth="1"/>
    <col min="3" max="8" width="6.5703125" style="2" customWidth="1"/>
    <col min="9" max="9" width="9.42578125" style="5" bestFit="1" customWidth="1"/>
    <col min="10" max="11" width="8.5703125" style="5" customWidth="1"/>
    <col min="12" max="12" width="27.42578125" style="5" bestFit="1" customWidth="1"/>
    <col min="13" max="13" width="19.28515625" style="5" bestFit="1" customWidth="1"/>
    <col min="14" max="15" width="10.42578125" style="6" bestFit="1" customWidth="1"/>
    <col min="16" max="16" width="12.7109375" style="6" bestFit="1" customWidth="1"/>
    <col min="17" max="17" width="14.85546875" style="6" bestFit="1" customWidth="1"/>
    <col min="18" max="18" width="25.140625" style="6" bestFit="1" customWidth="1"/>
    <col min="19" max="19" width="18.42578125" style="6" bestFit="1" customWidth="1"/>
    <col min="20" max="16384" width="11" style="1"/>
  </cols>
  <sheetData>
    <row r="1" spans="1:20" s="9" customFormat="1" ht="12" thickTop="1">
      <c r="A1" s="85" t="s">
        <v>77</v>
      </c>
      <c r="B1" s="85"/>
      <c r="C1" s="85"/>
      <c r="D1" s="14"/>
      <c r="E1" s="14"/>
      <c r="F1" s="14"/>
      <c r="G1" s="14"/>
      <c r="H1" s="14" t="s">
        <v>43</v>
      </c>
      <c r="I1" s="53">
        <v>0.6</v>
      </c>
      <c r="J1" s="29" t="s">
        <v>55</v>
      </c>
      <c r="K1" s="29"/>
      <c r="L1" s="14" t="s">
        <v>11</v>
      </c>
      <c r="M1" s="58">
        <v>1</v>
      </c>
      <c r="N1" s="29" t="s">
        <v>37</v>
      </c>
      <c r="O1" s="29"/>
      <c r="P1" s="29"/>
      <c r="Q1" s="29"/>
      <c r="R1" s="14" t="s">
        <v>63</v>
      </c>
      <c r="S1" s="63" t="s">
        <v>64</v>
      </c>
      <c r="T1" s="10"/>
    </row>
    <row r="2" spans="1:20" s="9" customFormat="1" ht="12" thickBot="1">
      <c r="A2" s="85"/>
      <c r="B2" s="85"/>
      <c r="C2" s="85"/>
      <c r="H2" s="9" t="s">
        <v>44</v>
      </c>
      <c r="I2" s="54">
        <v>0.3</v>
      </c>
      <c r="J2" s="10" t="s">
        <v>55</v>
      </c>
      <c r="K2" s="10"/>
      <c r="L2" s="9" t="s">
        <v>13</v>
      </c>
      <c r="M2" s="59">
        <v>0.2</v>
      </c>
      <c r="N2" s="10" t="s">
        <v>38</v>
      </c>
      <c r="O2" s="10"/>
      <c r="P2" s="10"/>
      <c r="Q2" s="10"/>
      <c r="R2" s="9" t="s">
        <v>66</v>
      </c>
      <c r="S2" s="64" t="s">
        <v>67</v>
      </c>
      <c r="T2" s="10"/>
    </row>
    <row r="3" spans="1:20" s="9" customFormat="1" ht="12.75" thickTop="1" thickBot="1">
      <c r="A3" s="82" t="s">
        <v>99</v>
      </c>
      <c r="B3" s="83"/>
      <c r="C3" s="84"/>
      <c r="D3" s="14"/>
      <c r="E3" s="14"/>
      <c r="F3" s="14"/>
      <c r="G3" s="14"/>
      <c r="H3" s="14" t="s">
        <v>45</v>
      </c>
      <c r="I3" s="55">
        <v>3</v>
      </c>
      <c r="J3" s="29" t="s">
        <v>55</v>
      </c>
      <c r="K3" s="29"/>
      <c r="L3" s="14" t="s">
        <v>29</v>
      </c>
      <c r="M3" s="60">
        <v>20</v>
      </c>
      <c r="N3" s="29" t="s">
        <v>28</v>
      </c>
      <c r="O3" s="14"/>
      <c r="P3" s="29"/>
      <c r="Q3" s="29"/>
      <c r="R3" s="14" t="s">
        <v>62</v>
      </c>
      <c r="S3" s="29">
        <f>+S5/(PI()*(S4/10)*(S4/10)/4)</f>
        <v>6.25</v>
      </c>
    </row>
    <row r="4" spans="1:20" s="9" customFormat="1" ht="12.75" thickTop="1" thickBot="1">
      <c r="B4" s="36"/>
      <c r="H4" s="9" t="s">
        <v>46</v>
      </c>
      <c r="I4" s="54">
        <v>2.5</v>
      </c>
      <c r="J4" s="10" t="s">
        <v>55</v>
      </c>
      <c r="K4" s="10"/>
      <c r="L4" s="9" t="s">
        <v>35</v>
      </c>
      <c r="M4" s="61">
        <f>1800/(100*100*100)</f>
        <v>1.8E-3</v>
      </c>
      <c r="N4" s="10" t="s">
        <v>36</v>
      </c>
      <c r="P4" s="10"/>
      <c r="Q4" s="10"/>
      <c r="R4" s="9" t="s">
        <v>61</v>
      </c>
      <c r="S4" s="65">
        <v>12</v>
      </c>
    </row>
    <row r="5" spans="1:20" s="9" customFormat="1" ht="12" thickTop="1">
      <c r="B5" s="36"/>
      <c r="D5" s="14"/>
      <c r="E5" s="14"/>
      <c r="F5" s="14"/>
      <c r="G5" s="14"/>
      <c r="H5" s="14" t="s">
        <v>19</v>
      </c>
      <c r="I5" s="55">
        <v>2500</v>
      </c>
      <c r="J5" s="29" t="s">
        <v>20</v>
      </c>
      <c r="K5" s="29"/>
      <c r="L5" s="14" t="s">
        <v>30</v>
      </c>
      <c r="M5" s="21">
        <f>+M3*2/3</f>
        <v>13.333333333333334</v>
      </c>
      <c r="N5" s="29"/>
      <c r="O5" s="14"/>
      <c r="P5" s="29"/>
      <c r="Q5" s="29"/>
      <c r="R5" s="14" t="s">
        <v>60</v>
      </c>
      <c r="S5" s="30">
        <f>+S6*PI()*I2*100*I2*25</f>
        <v>7.0685834705770345</v>
      </c>
    </row>
    <row r="6" spans="1:20" s="9" customFormat="1" ht="12" thickBot="1">
      <c r="B6" s="36"/>
      <c r="H6" s="9" t="s">
        <v>47</v>
      </c>
      <c r="I6" s="54">
        <v>140</v>
      </c>
      <c r="J6" s="10" t="s">
        <v>12</v>
      </c>
      <c r="K6" s="10"/>
      <c r="L6" s="9" t="s">
        <v>31</v>
      </c>
      <c r="M6" s="8">
        <v>0</v>
      </c>
      <c r="N6" s="10" t="s">
        <v>12</v>
      </c>
      <c r="P6" s="10"/>
      <c r="Q6" s="10"/>
      <c r="R6" s="9" t="s">
        <v>59</v>
      </c>
      <c r="S6" s="24">
        <f>+MAX(0.01,S7)</f>
        <v>0.01</v>
      </c>
    </row>
    <row r="7" spans="1:20" s="9" customFormat="1" ht="12.75" thickTop="1" thickBot="1">
      <c r="D7" s="14"/>
      <c r="E7" s="14"/>
      <c r="F7" s="14"/>
      <c r="G7" s="14"/>
      <c r="H7" s="14" t="s">
        <v>48</v>
      </c>
      <c r="I7" s="55">
        <v>4200</v>
      </c>
      <c r="J7" s="29" t="s">
        <v>12</v>
      </c>
      <c r="K7" s="29"/>
      <c r="L7" s="14" t="s">
        <v>42</v>
      </c>
      <c r="M7" s="62">
        <v>1.2</v>
      </c>
      <c r="N7" s="29" t="s">
        <v>32</v>
      </c>
      <c r="O7" s="14"/>
      <c r="P7" s="29"/>
      <c r="Q7" s="29"/>
      <c r="R7" s="14" t="s">
        <v>65</v>
      </c>
      <c r="S7" s="66">
        <v>0</v>
      </c>
    </row>
    <row r="8" spans="1:20" s="9" customFormat="1" ht="12.75" thickTop="1" thickBot="1">
      <c r="B8" s="36"/>
      <c r="H8" s="9" t="s">
        <v>23</v>
      </c>
      <c r="I8" s="56">
        <v>0.05</v>
      </c>
      <c r="J8" s="10" t="s">
        <v>55</v>
      </c>
      <c r="K8" s="10"/>
      <c r="L8" s="27" t="s">
        <v>15</v>
      </c>
      <c r="M8" s="28">
        <f>+(3.14*I1*100*I1*100/4)*M1</f>
        <v>2825.9999999999995</v>
      </c>
      <c r="N8" s="10" t="s">
        <v>16</v>
      </c>
      <c r="O8" s="16"/>
      <c r="P8" s="10"/>
      <c r="Q8" s="10"/>
      <c r="R8" s="16" t="s">
        <v>57</v>
      </c>
      <c r="S8" s="23">
        <f>+MIN(R21:R34)</f>
        <v>-2.5146677788918582E-2</v>
      </c>
      <c r="T8" s="16"/>
    </row>
    <row r="9" spans="1:20" s="9" customFormat="1" ht="12.75" thickTop="1" thickBot="1">
      <c r="B9" s="36"/>
      <c r="D9" s="14"/>
      <c r="E9" s="14"/>
      <c r="F9" s="14"/>
      <c r="G9" s="14"/>
      <c r="H9" s="14" t="s">
        <v>24</v>
      </c>
      <c r="I9" s="20">
        <f>+I8/I2</f>
        <v>0.16666666666666669</v>
      </c>
      <c r="J9" s="41" t="s">
        <v>32</v>
      </c>
      <c r="K9" s="29"/>
      <c r="L9" s="14" t="s">
        <v>17</v>
      </c>
      <c r="M9" s="22">
        <f>3.14*I2*100*I4*100*M2</f>
        <v>4709.9999999999991</v>
      </c>
      <c r="N9" s="29" t="s">
        <v>16</v>
      </c>
      <c r="O9" s="31"/>
      <c r="P9" s="29"/>
      <c r="Q9" s="29"/>
      <c r="R9" s="31" t="s">
        <v>58</v>
      </c>
      <c r="S9" s="32">
        <f>+MAX(R21:R34)</f>
        <v>3.9162858851594512E-3</v>
      </c>
      <c r="T9" s="16"/>
    </row>
    <row r="10" spans="1:20" s="9" customFormat="1" ht="12.75" thickTop="1" thickBot="1">
      <c r="B10" s="36"/>
      <c r="D10" s="27"/>
      <c r="E10" s="27"/>
      <c r="F10" s="27"/>
      <c r="G10" s="27"/>
      <c r="H10" s="27" t="s">
        <v>33</v>
      </c>
      <c r="I10" s="57">
        <v>0.5</v>
      </c>
      <c r="J10" s="34"/>
      <c r="K10" s="34"/>
      <c r="L10" s="27" t="s">
        <v>18</v>
      </c>
      <c r="M10" s="33">
        <f>+M9+M8</f>
        <v>7535.9999999999982</v>
      </c>
      <c r="N10" s="34" t="s">
        <v>16</v>
      </c>
      <c r="O10" s="34"/>
      <c r="P10" s="34"/>
      <c r="Q10" s="34"/>
      <c r="R10" s="27"/>
      <c r="S10" s="34"/>
      <c r="T10" s="10"/>
    </row>
    <row r="11" spans="1:20" s="9" customFormat="1" ht="12" thickTop="1">
      <c r="B11" s="36"/>
      <c r="D11" s="14"/>
      <c r="E11" s="14"/>
      <c r="F11" s="14"/>
      <c r="G11" s="14"/>
      <c r="H11" s="14" t="s">
        <v>71</v>
      </c>
      <c r="I11" s="17">
        <v>70</v>
      </c>
      <c r="J11" s="29" t="s">
        <v>12</v>
      </c>
      <c r="K11" s="14"/>
      <c r="L11" s="14" t="s">
        <v>21</v>
      </c>
      <c r="M11" s="17">
        <f>+(I5)*(3.14*I2*I2*I3/4)</f>
        <v>529.87499999999989</v>
      </c>
      <c r="N11" s="29" t="s">
        <v>16</v>
      </c>
      <c r="O11" s="29"/>
      <c r="P11" s="29"/>
      <c r="Q11" s="29"/>
      <c r="R11" s="14"/>
      <c r="S11" s="29"/>
      <c r="T11" s="10"/>
    </row>
    <row r="12" spans="1:20" s="9" customFormat="1" ht="11.25">
      <c r="B12" s="36"/>
      <c r="D12" s="12"/>
      <c r="H12" s="9" t="s">
        <v>70</v>
      </c>
      <c r="I12" s="8">
        <f>0.75*I11/(I2*100)</f>
        <v>1.75</v>
      </c>
      <c r="J12" s="10" t="s">
        <v>36</v>
      </c>
      <c r="L12" s="8"/>
      <c r="M12" s="8"/>
    </row>
    <row r="13" spans="1:20" s="9" customFormat="1" ht="11.25">
      <c r="B13" s="36"/>
      <c r="D13" s="39"/>
      <c r="E13" s="14"/>
      <c r="F13" s="14"/>
      <c r="G13" s="14"/>
      <c r="H13" s="14" t="s">
        <v>69</v>
      </c>
      <c r="I13" s="21">
        <f>1.57*I11/(I2*100)</f>
        <v>3.6633333333333336</v>
      </c>
      <c r="J13" s="29" t="s">
        <v>36</v>
      </c>
      <c r="K13" s="14"/>
      <c r="L13" s="14"/>
      <c r="M13" s="17"/>
      <c r="N13" s="14"/>
      <c r="O13" s="14"/>
      <c r="P13" s="14"/>
      <c r="Q13" s="14"/>
      <c r="R13" s="14"/>
      <c r="S13" s="14"/>
    </row>
    <row r="14" spans="1:20" s="9" customFormat="1" ht="11.25">
      <c r="B14" s="36"/>
      <c r="D14" s="37"/>
      <c r="E14" s="27"/>
      <c r="F14" s="27"/>
      <c r="G14" s="27"/>
      <c r="H14" s="27" t="s">
        <v>72</v>
      </c>
      <c r="I14" s="33">
        <f>+I3/I1</f>
        <v>5</v>
      </c>
      <c r="J14" s="34" t="s">
        <v>75</v>
      </c>
      <c r="K14" s="38"/>
      <c r="L14" s="34"/>
      <c r="M14" s="33"/>
      <c r="N14" s="27"/>
      <c r="O14" s="27"/>
      <c r="P14" s="27"/>
      <c r="Q14" s="27"/>
      <c r="R14" s="27"/>
      <c r="S14" s="27"/>
    </row>
    <row r="15" spans="1:20" s="9" customFormat="1" ht="11.25">
      <c r="B15" s="36"/>
      <c r="D15" s="39"/>
      <c r="E15" s="14"/>
      <c r="F15" s="14"/>
      <c r="G15" s="14"/>
      <c r="H15" s="40" t="s">
        <v>74</v>
      </c>
      <c r="I15" s="20">
        <f>+I12/I13</f>
        <v>0.4777070063694267</v>
      </c>
      <c r="J15" s="17"/>
      <c r="K15" s="41"/>
      <c r="L15" s="29"/>
      <c r="M15" s="17"/>
      <c r="N15" s="14"/>
      <c r="O15" s="14"/>
      <c r="P15" s="14"/>
      <c r="Q15" s="14"/>
      <c r="R15" s="14"/>
      <c r="S15" s="14"/>
    </row>
    <row r="16" spans="1:20" s="9" customFormat="1" ht="12" thickBot="1">
      <c r="B16" s="36"/>
      <c r="D16" s="37"/>
      <c r="E16" s="27"/>
      <c r="F16" s="27"/>
      <c r="G16" s="27"/>
      <c r="H16" s="27" t="s">
        <v>73</v>
      </c>
      <c r="I16" s="42">
        <f>1/(1+I15*I14)</f>
        <v>0.29511278195488727</v>
      </c>
      <c r="J16" s="33"/>
      <c r="K16" s="27"/>
      <c r="L16" s="33"/>
      <c r="M16" s="33"/>
      <c r="N16" s="27"/>
      <c r="O16" s="27"/>
      <c r="P16" s="27"/>
      <c r="Q16" s="27"/>
      <c r="R16" s="27"/>
      <c r="S16" s="27"/>
    </row>
    <row r="17" spans="1:19" s="9" customFormat="1" ht="11.25">
      <c r="B17" s="36"/>
      <c r="D17" s="12"/>
      <c r="J17" s="46" t="s">
        <v>68</v>
      </c>
      <c r="K17" s="47"/>
      <c r="L17" s="8"/>
      <c r="M17" s="8"/>
      <c r="Q17" s="45" t="s">
        <v>78</v>
      </c>
    </row>
    <row r="18" spans="1:19" ht="15.75" thickBot="1">
      <c r="A18" s="67" t="s">
        <v>79</v>
      </c>
      <c r="B18" s="68"/>
      <c r="C18" s="68"/>
      <c r="D18" s="68"/>
      <c r="E18" s="68"/>
      <c r="F18" s="68"/>
      <c r="G18" s="68"/>
      <c r="H18" s="68"/>
      <c r="I18" s="69"/>
      <c r="J18" s="52">
        <f>+MAX(J21:J34)</f>
        <v>2.060509645694482</v>
      </c>
      <c r="K18" s="35">
        <f>+MAX(K21:K34)</f>
        <v>3.0914721412298056</v>
      </c>
      <c r="L18" s="48" t="s">
        <v>25</v>
      </c>
      <c r="M18" s="48"/>
      <c r="N18" s="48"/>
      <c r="O18" s="48"/>
      <c r="P18" s="7"/>
      <c r="Q18" s="44">
        <f>+MAX(Q21:Q34)</f>
        <v>0.12811471126065033</v>
      </c>
      <c r="R18" s="48" t="s">
        <v>26</v>
      </c>
      <c r="S18" s="48"/>
    </row>
    <row r="19" spans="1:19" ht="16.5" thickTop="1" thickBot="1">
      <c r="A19" s="70" t="s">
        <v>0</v>
      </c>
      <c r="B19" s="71"/>
      <c r="C19" s="72" t="s">
        <v>1</v>
      </c>
      <c r="D19" s="73"/>
      <c r="E19" s="74"/>
      <c r="F19" s="72" t="s">
        <v>2</v>
      </c>
      <c r="G19" s="73"/>
      <c r="H19" s="74"/>
      <c r="I19" s="70"/>
      <c r="J19" s="50" t="s">
        <v>9</v>
      </c>
      <c r="K19" s="51"/>
      <c r="L19" s="25" t="s">
        <v>14</v>
      </c>
      <c r="M19" s="49" t="s">
        <v>40</v>
      </c>
      <c r="N19" s="49"/>
      <c r="O19" s="49"/>
      <c r="P19" s="49"/>
      <c r="Q19" s="43"/>
      <c r="R19" s="15" t="s">
        <v>80</v>
      </c>
      <c r="S19" s="15" t="s">
        <v>80</v>
      </c>
    </row>
    <row r="20" spans="1:19" ht="16.5" thickTop="1" thickBot="1">
      <c r="A20" s="75" t="s">
        <v>3</v>
      </c>
      <c r="B20" s="76"/>
      <c r="C20" s="75" t="s">
        <v>81</v>
      </c>
      <c r="D20" s="75" t="s">
        <v>82</v>
      </c>
      <c r="E20" s="75" t="s">
        <v>83</v>
      </c>
      <c r="F20" s="75" t="s">
        <v>84</v>
      </c>
      <c r="G20" s="75" t="s">
        <v>85</v>
      </c>
      <c r="H20" s="75" t="s">
        <v>86</v>
      </c>
      <c r="I20" s="75" t="s">
        <v>10</v>
      </c>
      <c r="J20" s="18" t="s">
        <v>54</v>
      </c>
      <c r="K20" s="11" t="s">
        <v>53</v>
      </c>
      <c r="L20" s="25" t="s">
        <v>22</v>
      </c>
      <c r="M20" s="3" t="s">
        <v>34</v>
      </c>
      <c r="N20" s="3" t="s">
        <v>27</v>
      </c>
      <c r="O20" s="3" t="s">
        <v>39</v>
      </c>
      <c r="P20" s="25" t="s">
        <v>41</v>
      </c>
      <c r="Q20" s="26" t="s">
        <v>76</v>
      </c>
      <c r="R20" s="3" t="s">
        <v>51</v>
      </c>
      <c r="S20" s="3" t="s">
        <v>52</v>
      </c>
    </row>
    <row r="21" spans="1:19" ht="16.5" thickTop="1" thickBot="1">
      <c r="A21" s="77">
        <v>62</v>
      </c>
      <c r="B21" s="78" t="s">
        <v>4</v>
      </c>
      <c r="C21" s="79">
        <v>0.56000000000000005</v>
      </c>
      <c r="D21" s="79">
        <v>2.35</v>
      </c>
      <c r="E21" s="79">
        <v>3.8</v>
      </c>
      <c r="F21" s="79">
        <v>2.04</v>
      </c>
      <c r="G21" s="79">
        <v>0.37</v>
      </c>
      <c r="H21" s="79">
        <v>0</v>
      </c>
      <c r="I21" s="80"/>
      <c r="J21" s="4">
        <f>IF(B21="Max",0,IF(B21="Min",0,SQRT(F21*F21+G21*G21)))</f>
        <v>0</v>
      </c>
      <c r="K21" s="4">
        <f>IF(B21="Max",0,IF(B21="Min",0,+SQRT(C21*C21+D21*D21)))</f>
        <v>0</v>
      </c>
      <c r="L21" s="25" t="str">
        <f t="shared" ref="L21:L34" si="0">+IF(E21&lt;0,IF(($M$8+$M$9)&gt;ABS(E21*1000/9.81-($M$11)),"Verifica","Supera a compresión"),IF($M$9&gt;ABS(E21*1000/9.81-($M$11)),"Verifica","Supera a tracción"))</f>
        <v>Verifica</v>
      </c>
      <c r="M21" s="4">
        <f t="shared" ref="M21:M34" si="1">+ABS((IF(-$M$11+E21*1000/9.81&lt;0,ABS((E21*1000/9.81)-$M$11),0))*TAN($M$5*PI()/180))+IF(-$M$11+E21*1000/9.81&lt;0,(PI()*$I$1*$I$1/4)*($M$6/(0.01*0.01)),0)</f>
        <v>33.776714132889083</v>
      </c>
      <c r="N21" s="4">
        <f>+$I$10*(0.5)*($M$4/(0.01*0.01*0.01)*$I$3*$I$3*$I$2)</f>
        <v>1214.9999999999995</v>
      </c>
      <c r="O21" s="4">
        <f>+N21+M21</f>
        <v>1248.7767141328886</v>
      </c>
      <c r="P21" s="25" t="str">
        <f>IF(K21*$M$7*(1000/9.81)&gt;O21,"No verifica R. lateral","Verifica")</f>
        <v>Verifica</v>
      </c>
      <c r="Q21" s="26">
        <f>($I$15*(J21*100*1000/9.81+(K21*1000/9.81*$I$3*100))*$I$3*100)/(4*((($I$2*100*($I$2*100)^3)/12)+$I$15*($I$2*100)*($I$3*100)^3/12))</f>
        <v>0</v>
      </c>
      <c r="R21" s="13">
        <f t="shared" ref="R21:R34" si="2">E21*(1000/9.81)/((3.14*$I$2*100*$I$2*100/4)*$I$6)</f>
        <v>3.9162858851594512E-3</v>
      </c>
      <c r="S21" s="13">
        <f>+(J21*1000*100/9.81)/((PI()*$I$2*100*$I$2*100/4)*$I$2*100*$I$6)</f>
        <v>0</v>
      </c>
    </row>
    <row r="22" spans="1:19" ht="16.5" thickTop="1" thickBot="1">
      <c r="A22" s="77"/>
      <c r="B22" s="78" t="s">
        <v>5</v>
      </c>
      <c r="C22" s="79">
        <v>-0.94</v>
      </c>
      <c r="D22" s="79">
        <v>-3.06</v>
      </c>
      <c r="E22" s="79">
        <v>-24.4</v>
      </c>
      <c r="F22" s="79">
        <v>-1.56</v>
      </c>
      <c r="G22" s="79">
        <v>-0.62</v>
      </c>
      <c r="H22" s="79">
        <v>0</v>
      </c>
      <c r="I22" s="80"/>
      <c r="J22" s="4">
        <f t="shared" ref="J22:J34" si="3">IF(B22="Max",0,IF(B22="Min",0,SQRT(F22*F22+G22*G22)))</f>
        <v>0</v>
      </c>
      <c r="K22" s="4">
        <f t="shared" ref="K22:K34" si="4">IF(B22="Max",0,IF(B22="Min",0,+SQRT(C22*C22+D22*D22)))</f>
        <v>0</v>
      </c>
      <c r="L22" s="25" t="str">
        <f t="shared" si="0"/>
        <v>Verifica</v>
      </c>
      <c r="M22" s="4">
        <f t="shared" si="1"/>
        <v>715.07363323137929</v>
      </c>
      <c r="N22" s="4">
        <f t="shared" ref="N22:N34" si="5">+$I$10*(0.5)*($M$4/(0.01*0.01*0.01)*$I$3*$I$3*$I$2)</f>
        <v>1214.9999999999995</v>
      </c>
      <c r="O22" s="4">
        <f t="shared" ref="O22:O34" si="6">+N22+M22</f>
        <v>1930.0736332313788</v>
      </c>
      <c r="P22" s="25" t="str">
        <f t="shared" ref="P22:P34" si="7">IF(K22*$M$7*(1000/9.81)&gt;O22,"No verifica R. lateral","Verifica")</f>
        <v>Verifica</v>
      </c>
      <c r="Q22" s="26">
        <f t="shared" ref="Q22:Q34" si="8">($I$15*(J22*100*1000/9.81+(K22*1000/9.81*$I$3*100))*$I$3*100)/(4*((($I$2*100*($I$2*100)^3)/12)+$I$15*($I$2*100)*($I$3*100)^3/12))</f>
        <v>0</v>
      </c>
      <c r="R22" s="13">
        <f t="shared" si="2"/>
        <v>-2.5146677788918582E-2</v>
      </c>
      <c r="S22" s="13">
        <f t="shared" ref="S22:S34" si="9">+(J22*1000*100/9.81)/((PI()*$I$2*100*$I$2*100/4)*$I$2*100*$I$6)</f>
        <v>0</v>
      </c>
    </row>
    <row r="23" spans="1:19" ht="16.5" thickTop="1" thickBot="1">
      <c r="A23" s="77"/>
      <c r="B23" s="78" t="s">
        <v>87</v>
      </c>
      <c r="C23" s="81">
        <v>0.56000000000000005</v>
      </c>
      <c r="D23" s="79">
        <v>-0.15</v>
      </c>
      <c r="E23" s="79">
        <v>-1.02</v>
      </c>
      <c r="F23" s="79">
        <v>0.1</v>
      </c>
      <c r="G23" s="79">
        <v>0.37</v>
      </c>
      <c r="H23" s="79">
        <v>0</v>
      </c>
      <c r="I23" s="80" t="s">
        <v>6</v>
      </c>
      <c r="J23" s="4">
        <f t="shared" si="3"/>
        <v>0.38327535793473599</v>
      </c>
      <c r="K23" s="4">
        <f t="shared" si="4"/>
        <v>0.5797413216254298</v>
      </c>
      <c r="L23" s="25" t="str">
        <f t="shared" si="0"/>
        <v>Verifica</v>
      </c>
      <c r="M23" s="4">
        <f t="shared" si="1"/>
        <v>150.22533647525515</v>
      </c>
      <c r="N23" s="4">
        <f t="shared" si="5"/>
        <v>1214.9999999999995</v>
      </c>
      <c r="O23" s="4">
        <f t="shared" si="6"/>
        <v>1365.2253364752546</v>
      </c>
      <c r="P23" s="25" t="str">
        <f t="shared" si="7"/>
        <v>Verifica</v>
      </c>
      <c r="Q23" s="26">
        <f t="shared" si="8"/>
        <v>2.3989868679191183E-2</v>
      </c>
      <c r="R23" s="13">
        <f t="shared" si="2"/>
        <v>-1.0512135797006948E-3</v>
      </c>
      <c r="S23" s="13">
        <f t="shared" si="9"/>
        <v>1.3160130906402327E-3</v>
      </c>
    </row>
    <row r="24" spans="1:19" ht="16.5" thickTop="1" thickBot="1">
      <c r="A24" s="77"/>
      <c r="B24" s="78" t="s">
        <v>88</v>
      </c>
      <c r="C24" s="81">
        <v>-0.94</v>
      </c>
      <c r="D24" s="79">
        <v>-1.0900000000000001</v>
      </c>
      <c r="E24" s="79">
        <v>-20.8</v>
      </c>
      <c r="F24" s="79">
        <v>0.73</v>
      </c>
      <c r="G24" s="79">
        <v>-0.62</v>
      </c>
      <c r="H24" s="79">
        <v>0</v>
      </c>
      <c r="I24" s="80" t="s">
        <v>7</v>
      </c>
      <c r="J24" s="4">
        <f t="shared" si="3"/>
        <v>0.95775779819325935</v>
      </c>
      <c r="K24" s="4">
        <f t="shared" si="4"/>
        <v>1.4393401265857906</v>
      </c>
      <c r="L24" s="25" t="str">
        <f t="shared" si="0"/>
        <v>Verifica</v>
      </c>
      <c r="M24" s="4">
        <f t="shared" si="1"/>
        <v>628.09955845284867</v>
      </c>
      <c r="N24" s="4">
        <f t="shared" si="5"/>
        <v>1214.9999999999995</v>
      </c>
      <c r="O24" s="4">
        <f t="shared" si="6"/>
        <v>1843.0995584528482</v>
      </c>
      <c r="P24" s="25" t="str">
        <f t="shared" si="7"/>
        <v>Verifica</v>
      </c>
      <c r="Q24" s="26">
        <f t="shared" si="8"/>
        <v>5.9630278469043729E-2</v>
      </c>
      <c r="R24" s="13">
        <f t="shared" si="2"/>
        <v>-2.1436512213504365E-2</v>
      </c>
      <c r="S24" s="13">
        <f t="shared" si="9"/>
        <v>3.2885542312890352E-3</v>
      </c>
    </row>
    <row r="25" spans="1:19" ht="16.5" thickTop="1" thickBot="1">
      <c r="A25" s="77"/>
      <c r="B25" s="78" t="s">
        <v>89</v>
      </c>
      <c r="C25" s="79">
        <v>-0.14000000000000001</v>
      </c>
      <c r="D25" s="81">
        <v>2.35</v>
      </c>
      <c r="E25" s="79">
        <v>3.28</v>
      </c>
      <c r="F25" s="79">
        <v>-1.56</v>
      </c>
      <c r="G25" s="79">
        <v>-0.09</v>
      </c>
      <c r="H25" s="79">
        <v>0</v>
      </c>
      <c r="I25" s="80" t="s">
        <v>50</v>
      </c>
      <c r="J25" s="4">
        <f t="shared" si="3"/>
        <v>1.5625939971726501</v>
      </c>
      <c r="K25" s="4">
        <f t="shared" si="4"/>
        <v>2.3541665191740369</v>
      </c>
      <c r="L25" s="25" t="str">
        <f t="shared" si="0"/>
        <v>Verifica</v>
      </c>
      <c r="M25" s="4">
        <f t="shared" si="1"/>
        <v>46.339636045343511</v>
      </c>
      <c r="N25" s="4">
        <f t="shared" si="5"/>
        <v>1214.9999999999995</v>
      </c>
      <c r="O25" s="4">
        <f t="shared" si="6"/>
        <v>1261.339636045343</v>
      </c>
      <c r="P25" s="25" t="str">
        <f t="shared" si="7"/>
        <v>Verifica</v>
      </c>
      <c r="Q25" s="26">
        <f t="shared" si="8"/>
        <v>9.7486420607582933E-2</v>
      </c>
      <c r="R25" s="13">
        <f t="shared" si="2"/>
        <v>3.3803730798218422E-3</v>
      </c>
      <c r="S25" s="13">
        <f t="shared" si="9"/>
        <v>5.365317944560413E-3</v>
      </c>
    </row>
    <row r="26" spans="1:19" ht="16.5" thickTop="1" thickBot="1">
      <c r="A26" s="77"/>
      <c r="B26" s="78" t="s">
        <v>90</v>
      </c>
      <c r="C26" s="79">
        <v>-0.44</v>
      </c>
      <c r="D26" s="81">
        <v>-3.06</v>
      </c>
      <c r="E26" s="79">
        <v>-24.4</v>
      </c>
      <c r="F26" s="79">
        <v>2.04</v>
      </c>
      <c r="G26" s="79">
        <v>-0.28999999999999998</v>
      </c>
      <c r="H26" s="79">
        <v>0</v>
      </c>
      <c r="I26" s="80" t="s">
        <v>8</v>
      </c>
      <c r="J26" s="4">
        <f t="shared" si="3"/>
        <v>2.060509645694482</v>
      </c>
      <c r="K26" s="4">
        <f t="shared" si="4"/>
        <v>3.0914721412298056</v>
      </c>
      <c r="L26" s="25" t="str">
        <f t="shared" si="0"/>
        <v>Verifica</v>
      </c>
      <c r="M26" s="4">
        <f t="shared" si="1"/>
        <v>715.07363323137929</v>
      </c>
      <c r="N26" s="4">
        <f t="shared" si="5"/>
        <v>1214.9999999999995</v>
      </c>
      <c r="O26" s="4">
        <f t="shared" si="6"/>
        <v>1930.0736332313788</v>
      </c>
      <c r="P26" s="25" t="str">
        <f t="shared" si="7"/>
        <v>Verifica</v>
      </c>
      <c r="Q26" s="26">
        <f t="shared" si="8"/>
        <v>0.12811471126065033</v>
      </c>
      <c r="R26" s="13">
        <f t="shared" si="2"/>
        <v>-2.5146677788918582E-2</v>
      </c>
      <c r="S26" s="13">
        <f t="shared" si="9"/>
        <v>7.0749595845035944E-3</v>
      </c>
    </row>
    <row r="27" spans="1:19" ht="16.5" thickTop="1" thickBot="1">
      <c r="A27" s="77"/>
      <c r="B27" s="78" t="s">
        <v>91</v>
      </c>
      <c r="C27" s="79">
        <v>0.36</v>
      </c>
      <c r="D27" s="79">
        <v>1.52</v>
      </c>
      <c r="E27" s="81">
        <v>3.8</v>
      </c>
      <c r="F27" s="79">
        <v>-1.01</v>
      </c>
      <c r="G27" s="79">
        <v>0.24</v>
      </c>
      <c r="H27" s="79">
        <v>0</v>
      </c>
      <c r="I27" s="80" t="s">
        <v>49</v>
      </c>
      <c r="J27" s="4">
        <f t="shared" si="3"/>
        <v>1.0381233067415452</v>
      </c>
      <c r="K27" s="4">
        <f t="shared" si="4"/>
        <v>1.5620499351813308</v>
      </c>
      <c r="L27" s="25" t="str">
        <f t="shared" si="0"/>
        <v>Verifica</v>
      </c>
      <c r="M27" s="4">
        <f t="shared" si="1"/>
        <v>33.776714132889083</v>
      </c>
      <c r="N27" s="4">
        <f t="shared" si="5"/>
        <v>1214.9999999999995</v>
      </c>
      <c r="O27" s="4">
        <f t="shared" si="6"/>
        <v>1248.7767141328886</v>
      </c>
      <c r="P27" s="25" t="str">
        <f t="shared" si="7"/>
        <v>Verifica</v>
      </c>
      <c r="Q27" s="26">
        <f t="shared" si="8"/>
        <v>6.4699460099559999E-2</v>
      </c>
      <c r="R27" s="13">
        <f t="shared" si="2"/>
        <v>3.9162858851594512E-3</v>
      </c>
      <c r="S27" s="13">
        <f t="shared" si="9"/>
        <v>3.5644969943599463E-3</v>
      </c>
    </row>
    <row r="28" spans="1:19" ht="16.5" thickTop="1" thickBot="1">
      <c r="A28" s="77"/>
      <c r="B28" s="78" t="s">
        <v>92</v>
      </c>
      <c r="C28" s="79">
        <v>-0.44</v>
      </c>
      <c r="D28" s="79">
        <v>-3.06</v>
      </c>
      <c r="E28" s="81">
        <v>-24.4</v>
      </c>
      <c r="F28" s="79">
        <v>2.04</v>
      </c>
      <c r="G28" s="79">
        <v>-0.28999999999999998</v>
      </c>
      <c r="H28" s="79">
        <v>0</v>
      </c>
      <c r="I28" s="80" t="s">
        <v>8</v>
      </c>
      <c r="J28" s="4">
        <f t="shared" si="3"/>
        <v>2.060509645694482</v>
      </c>
      <c r="K28" s="4">
        <f t="shared" si="4"/>
        <v>3.0914721412298056</v>
      </c>
      <c r="L28" s="25" t="str">
        <f t="shared" si="0"/>
        <v>Verifica</v>
      </c>
      <c r="M28" s="4">
        <f t="shared" si="1"/>
        <v>715.07363323137929</v>
      </c>
      <c r="N28" s="4">
        <f t="shared" si="5"/>
        <v>1214.9999999999995</v>
      </c>
      <c r="O28" s="4">
        <f t="shared" si="6"/>
        <v>1930.0736332313788</v>
      </c>
      <c r="P28" s="25" t="str">
        <f t="shared" si="7"/>
        <v>Verifica</v>
      </c>
      <c r="Q28" s="26">
        <f t="shared" si="8"/>
        <v>0.12811471126065033</v>
      </c>
      <c r="R28" s="13">
        <f t="shared" si="2"/>
        <v>-2.5146677788918582E-2</v>
      </c>
      <c r="S28" s="13">
        <f t="shared" si="9"/>
        <v>7.0749595845035944E-3</v>
      </c>
    </row>
    <row r="29" spans="1:19" ht="16.5" thickTop="1" thickBot="1">
      <c r="A29" s="77"/>
      <c r="B29" s="78" t="s">
        <v>93</v>
      </c>
      <c r="C29" s="79">
        <v>-0.44</v>
      </c>
      <c r="D29" s="79">
        <v>-3.06</v>
      </c>
      <c r="E29" s="79">
        <v>-24.4</v>
      </c>
      <c r="F29" s="81">
        <v>2.04</v>
      </c>
      <c r="G29" s="79">
        <v>-0.28999999999999998</v>
      </c>
      <c r="H29" s="79">
        <v>0</v>
      </c>
      <c r="I29" s="80" t="s">
        <v>8</v>
      </c>
      <c r="J29" s="4">
        <f t="shared" si="3"/>
        <v>2.060509645694482</v>
      </c>
      <c r="K29" s="4">
        <f t="shared" si="4"/>
        <v>3.0914721412298056</v>
      </c>
      <c r="L29" s="25" t="str">
        <f t="shared" si="0"/>
        <v>Verifica</v>
      </c>
      <c r="M29" s="4">
        <f t="shared" si="1"/>
        <v>715.07363323137929</v>
      </c>
      <c r="N29" s="4">
        <f t="shared" si="5"/>
        <v>1214.9999999999995</v>
      </c>
      <c r="O29" s="4">
        <f t="shared" si="6"/>
        <v>1930.0736332313788</v>
      </c>
      <c r="P29" s="25" t="str">
        <f t="shared" si="7"/>
        <v>Verifica</v>
      </c>
      <c r="Q29" s="26">
        <f t="shared" si="8"/>
        <v>0.12811471126065033</v>
      </c>
      <c r="R29" s="13">
        <f t="shared" si="2"/>
        <v>-2.5146677788918582E-2</v>
      </c>
      <c r="S29" s="13">
        <f t="shared" si="9"/>
        <v>7.0749595845035944E-3</v>
      </c>
    </row>
    <row r="30" spans="1:19" ht="16.5" thickTop="1" thickBot="1">
      <c r="A30" s="77"/>
      <c r="B30" s="78" t="s">
        <v>94</v>
      </c>
      <c r="C30" s="79">
        <v>-0.14000000000000001</v>
      </c>
      <c r="D30" s="79">
        <v>2.35</v>
      </c>
      <c r="E30" s="79">
        <v>3.28</v>
      </c>
      <c r="F30" s="81">
        <v>-1.56</v>
      </c>
      <c r="G30" s="79">
        <v>-0.09</v>
      </c>
      <c r="H30" s="79">
        <v>0</v>
      </c>
      <c r="I30" s="80" t="s">
        <v>50</v>
      </c>
      <c r="J30" s="4">
        <f t="shared" si="3"/>
        <v>1.5625939971726501</v>
      </c>
      <c r="K30" s="4">
        <f t="shared" si="4"/>
        <v>2.3541665191740369</v>
      </c>
      <c r="L30" s="25" t="str">
        <f t="shared" si="0"/>
        <v>Verifica</v>
      </c>
      <c r="M30" s="4">
        <f t="shared" si="1"/>
        <v>46.339636045343511</v>
      </c>
      <c r="N30" s="4">
        <f t="shared" si="5"/>
        <v>1214.9999999999995</v>
      </c>
      <c r="O30" s="4">
        <f t="shared" si="6"/>
        <v>1261.339636045343</v>
      </c>
      <c r="P30" s="25" t="str">
        <f t="shared" si="7"/>
        <v>Verifica</v>
      </c>
      <c r="Q30" s="26">
        <f t="shared" si="8"/>
        <v>9.7486420607582933E-2</v>
      </c>
      <c r="R30" s="13">
        <f t="shared" si="2"/>
        <v>3.3803730798218422E-3</v>
      </c>
      <c r="S30" s="13">
        <f t="shared" si="9"/>
        <v>5.365317944560413E-3</v>
      </c>
    </row>
    <row r="31" spans="1:19" ht="16.5" thickTop="1" thickBot="1">
      <c r="A31" s="77"/>
      <c r="B31" s="78" t="s">
        <v>95</v>
      </c>
      <c r="C31" s="79">
        <v>0.56000000000000005</v>
      </c>
      <c r="D31" s="79">
        <v>-0.15</v>
      </c>
      <c r="E31" s="79">
        <v>-1.02</v>
      </c>
      <c r="F31" s="79">
        <v>0.1</v>
      </c>
      <c r="G31" s="81">
        <v>0.37</v>
      </c>
      <c r="H31" s="79">
        <v>0</v>
      </c>
      <c r="I31" s="80" t="s">
        <v>6</v>
      </c>
      <c r="J31" s="4">
        <f t="shared" si="3"/>
        <v>0.38327535793473599</v>
      </c>
      <c r="K31" s="4">
        <f t="shared" si="4"/>
        <v>0.5797413216254298</v>
      </c>
      <c r="L31" s="25" t="str">
        <f t="shared" si="0"/>
        <v>Verifica</v>
      </c>
      <c r="M31" s="4">
        <f t="shared" si="1"/>
        <v>150.22533647525515</v>
      </c>
      <c r="N31" s="4">
        <f t="shared" si="5"/>
        <v>1214.9999999999995</v>
      </c>
      <c r="O31" s="4">
        <f t="shared" si="6"/>
        <v>1365.2253364752546</v>
      </c>
      <c r="P31" s="25" t="str">
        <f t="shared" si="7"/>
        <v>Verifica</v>
      </c>
      <c r="Q31" s="26">
        <f t="shared" si="8"/>
        <v>2.3989868679191183E-2</v>
      </c>
      <c r="R31" s="13">
        <f t="shared" si="2"/>
        <v>-1.0512135797006948E-3</v>
      </c>
      <c r="S31" s="13">
        <f t="shared" si="9"/>
        <v>1.3160130906402327E-3</v>
      </c>
    </row>
    <row r="32" spans="1:19" ht="16.5" thickTop="1" thickBot="1">
      <c r="A32" s="77"/>
      <c r="B32" s="78" t="s">
        <v>96</v>
      </c>
      <c r="C32" s="79">
        <v>-0.94</v>
      </c>
      <c r="D32" s="79">
        <v>-1.0900000000000001</v>
      </c>
      <c r="E32" s="79">
        <v>-20.8</v>
      </c>
      <c r="F32" s="79">
        <v>0.73</v>
      </c>
      <c r="G32" s="81">
        <v>-0.62</v>
      </c>
      <c r="H32" s="79">
        <v>0</v>
      </c>
      <c r="I32" s="80" t="s">
        <v>7</v>
      </c>
      <c r="J32" s="4">
        <f t="shared" si="3"/>
        <v>0.95775779819325935</v>
      </c>
      <c r="K32" s="4">
        <f t="shared" si="4"/>
        <v>1.4393401265857906</v>
      </c>
      <c r="L32" s="25" t="str">
        <f t="shared" si="0"/>
        <v>Verifica</v>
      </c>
      <c r="M32" s="4">
        <f t="shared" si="1"/>
        <v>628.09955845284867</v>
      </c>
      <c r="N32" s="4">
        <f t="shared" si="5"/>
        <v>1214.9999999999995</v>
      </c>
      <c r="O32" s="4">
        <f t="shared" si="6"/>
        <v>1843.0995584528482</v>
      </c>
      <c r="P32" s="25" t="str">
        <f t="shared" si="7"/>
        <v>Verifica</v>
      </c>
      <c r="Q32" s="26">
        <f t="shared" si="8"/>
        <v>5.9630278469043729E-2</v>
      </c>
      <c r="R32" s="13">
        <f t="shared" si="2"/>
        <v>-2.1436512213504365E-2</v>
      </c>
      <c r="S32" s="13">
        <f t="shared" si="9"/>
        <v>3.2885542312890352E-3</v>
      </c>
    </row>
    <row r="33" spans="1:19" ht="16.5" thickTop="1" thickBot="1">
      <c r="A33" s="77"/>
      <c r="B33" s="78" t="s">
        <v>97</v>
      </c>
      <c r="C33" s="79">
        <v>-0.11</v>
      </c>
      <c r="D33" s="79">
        <v>-0.31</v>
      </c>
      <c r="E33" s="79">
        <v>-7.53</v>
      </c>
      <c r="F33" s="79">
        <v>0.21</v>
      </c>
      <c r="G33" s="79">
        <v>-7.0000000000000007E-2</v>
      </c>
      <c r="H33" s="81">
        <v>0</v>
      </c>
      <c r="I33" s="80" t="s">
        <v>56</v>
      </c>
      <c r="J33" s="4">
        <f t="shared" si="3"/>
        <v>0.22135943621178655</v>
      </c>
      <c r="K33" s="4">
        <f t="shared" si="4"/>
        <v>0.32893768406797053</v>
      </c>
      <c r="L33" s="25" t="str">
        <f t="shared" si="0"/>
        <v>Verifica</v>
      </c>
      <c r="M33" s="4">
        <f t="shared" si="1"/>
        <v>307.50345503309802</v>
      </c>
      <c r="N33" s="4">
        <f t="shared" si="5"/>
        <v>1214.9999999999995</v>
      </c>
      <c r="O33" s="4">
        <f t="shared" si="6"/>
        <v>1522.5034550330975</v>
      </c>
      <c r="P33" s="25" t="str">
        <f t="shared" si="7"/>
        <v>Verifica</v>
      </c>
      <c r="Q33" s="26">
        <f t="shared" si="8"/>
        <v>1.3655551748548085E-2</v>
      </c>
      <c r="R33" s="13">
        <f t="shared" si="2"/>
        <v>-7.7604296619080719E-3</v>
      </c>
      <c r="S33" s="13">
        <f t="shared" si="9"/>
        <v>7.6005907961621997E-4</v>
      </c>
    </row>
    <row r="34" spans="1:19" ht="16.5" thickTop="1" thickBot="1">
      <c r="A34" s="77"/>
      <c r="B34" s="78" t="s">
        <v>98</v>
      </c>
      <c r="C34" s="79">
        <v>-0.11</v>
      </c>
      <c r="D34" s="79">
        <v>-0.31</v>
      </c>
      <c r="E34" s="79">
        <v>-7.53</v>
      </c>
      <c r="F34" s="79">
        <v>0.21</v>
      </c>
      <c r="G34" s="79">
        <v>-7.0000000000000007E-2</v>
      </c>
      <c r="H34" s="81">
        <v>0</v>
      </c>
      <c r="I34" s="80" t="s">
        <v>56</v>
      </c>
      <c r="J34" s="4">
        <f t="shared" si="3"/>
        <v>0.22135943621178655</v>
      </c>
      <c r="K34" s="4">
        <f t="shared" si="4"/>
        <v>0.32893768406797053</v>
      </c>
      <c r="L34" s="25" t="str">
        <f t="shared" si="0"/>
        <v>Verifica</v>
      </c>
      <c r="M34" s="4">
        <f t="shared" si="1"/>
        <v>307.50345503309802</v>
      </c>
      <c r="N34" s="4">
        <f t="shared" si="5"/>
        <v>1214.9999999999995</v>
      </c>
      <c r="O34" s="4">
        <f t="shared" si="6"/>
        <v>1522.5034550330975</v>
      </c>
      <c r="P34" s="25" t="str">
        <f t="shared" si="7"/>
        <v>Verifica</v>
      </c>
      <c r="Q34" s="26">
        <f t="shared" si="8"/>
        <v>1.3655551748548085E-2</v>
      </c>
      <c r="R34" s="13">
        <f t="shared" si="2"/>
        <v>-7.7604296619080719E-3</v>
      </c>
      <c r="S34" s="13">
        <f t="shared" si="9"/>
        <v>7.6005907961621997E-4</v>
      </c>
    </row>
    <row r="35" spans="1:19" ht="15.75" thickTop="1"/>
  </sheetData>
  <mergeCells count="10">
    <mergeCell ref="A1:C2"/>
    <mergeCell ref="J17:K17"/>
    <mergeCell ref="R18:S18"/>
    <mergeCell ref="C19:E19"/>
    <mergeCell ref="F19:H19"/>
    <mergeCell ref="L18:O18"/>
    <mergeCell ref="M19:P19"/>
    <mergeCell ref="J19:K19"/>
    <mergeCell ref="A18:I18"/>
    <mergeCell ref="A3:C3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CR1 - 4.1 Nudos -Santiarios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160916-Capilla-v005-300Scu</dc:title>
  <dc:creator>Cristian Repetto</dc:creator>
  <cp:lastModifiedBy>Cristian Repetto</cp:lastModifiedBy>
  <dcterms:created xsi:type="dcterms:W3CDTF">2016-10-06T04:58:41Z</dcterms:created>
  <dcterms:modified xsi:type="dcterms:W3CDTF">2017-01-20T19:09:56Z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nguage">
    <vt:lpwstr>ESP</vt:lpwstr>
  </property>
</Properties>
</file>