
<file path=[Content_Types].xml><?xml version="1.0" encoding="utf-8"?>
<Types xmlns="http://schemas.openxmlformats.org/package/2006/content-types">
  <Override PartName="/xl/embeddings/oleObject8.bin" ContentType="application/vnd.openxmlformats-officedocument.oleObject"/>
  <Override PartName="/xl/embeddings/oleObject14.bin" ContentType="application/vnd.openxmlformats-officedocument.oleObject"/>
  <Override PartName="/xl/embeddings/oleObject23.bin" ContentType="application/vnd.openxmlformats-officedocument.oleObject"/>
  <Override PartName="/xl/embeddings/oleObject34.bin" ContentType="application/vnd.openxmlformats-officedocument.oleObject"/>
  <Override PartName="/xl/embeddings/oleObject43.bin" ContentType="application/vnd.openxmlformats-officedocument.oleObject"/>
  <Override PartName="/xl/theme/theme1.xml" ContentType="application/vnd.openxmlformats-officedocument.theme+xml"/>
  <Override PartName="/xl/styles.xml" ContentType="application/vnd.openxmlformats-officedocument.spreadsheetml.styles+xml"/>
  <Override PartName="/xl/embeddings/oleObject6.bin" ContentType="application/vnd.openxmlformats-officedocument.oleObject"/>
  <Override PartName="/xl/embeddings/oleObject12.bin" ContentType="application/vnd.openxmlformats-officedocument.oleObject"/>
  <Override PartName="/xl/embeddings/oleObject21.bin" ContentType="application/vnd.openxmlformats-officedocument.oleObject"/>
  <Override PartName="/xl/embeddings/oleObject32.bin" ContentType="application/vnd.openxmlformats-officedocument.oleObject"/>
  <Override PartName="/xl/embeddings/oleObject41.bin" ContentType="application/vnd.openxmlformats-officedocument.oleObject"/>
  <Override PartName="/xl/embeddings/oleObject4.bin" ContentType="application/vnd.openxmlformats-officedocument.oleObject"/>
  <Override PartName="/xl/embeddings/oleObject10.bin" ContentType="application/vnd.openxmlformats-officedocument.oleObject"/>
  <Override PartName="/xl/embeddings/oleObject30.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embeddings/oleObject39.bin" ContentType="application/vnd.openxmlformats-officedocument.oleObject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embeddings/oleObject18.bin" ContentType="application/vnd.openxmlformats-officedocument.oleObject"/>
  <Override PartName="/xl/embeddings/oleObject19.bin" ContentType="application/vnd.openxmlformats-officedocument.oleObject"/>
  <Override PartName="/xl/embeddings/oleObject28.bin" ContentType="application/vnd.openxmlformats-officedocument.oleObject"/>
  <Override PartName="/xl/embeddings/oleObject29.bin" ContentType="application/vnd.openxmlformats-officedocument.oleObject"/>
  <Override PartName="/xl/embeddings/oleObject37.bin" ContentType="application/vnd.openxmlformats-officedocument.oleObject"/>
  <Override PartName="/xl/embeddings/oleObject38.bin" ContentType="application/vnd.openxmlformats-officedocument.oleObject"/>
  <Override PartName="/xl/embeddings/oleObject46.bin" ContentType="application/vnd.openxmlformats-officedocument.oleObject"/>
  <Override PartName="/xl/embeddings/oleObject47.bin" ContentType="application/vnd.openxmlformats-officedocument.oleObject"/>
  <Override PartName="/xl/embeddings/oleObject9.bin" ContentType="application/vnd.openxmlformats-officedocument.oleObject"/>
  <Override PartName="/xl/embeddings/oleObject16.bin" ContentType="application/vnd.openxmlformats-officedocument.oleObject"/>
  <Override PartName="/xl/embeddings/oleObject17.bin" ContentType="application/vnd.openxmlformats-officedocument.oleObject"/>
  <Override PartName="/xl/embeddings/oleObject25.bin" ContentType="application/vnd.openxmlformats-officedocument.oleObject"/>
  <Override PartName="/xl/embeddings/oleObject26.bin" ContentType="application/vnd.openxmlformats-officedocument.oleObject"/>
  <Override PartName="/xl/embeddings/oleObject27.bin" ContentType="application/vnd.openxmlformats-officedocument.oleObject"/>
  <Override PartName="/xl/embeddings/oleObject35.bin" ContentType="application/vnd.openxmlformats-officedocument.oleObject"/>
  <Override PartName="/xl/embeddings/oleObject36.bin" ContentType="application/vnd.openxmlformats-officedocument.oleObject"/>
  <Override PartName="/xl/embeddings/oleObject44.bin" ContentType="application/vnd.openxmlformats-officedocument.oleObject"/>
  <Override PartName="/xl/embeddings/oleObject45.bin" ContentType="application/vnd.openxmlformats-officedocument.oleObject"/>
  <Override PartName="/docProps/core.xml" ContentType="application/vnd.openxmlformats-package.core-properties+xml"/>
  <Default Extension="bin" ContentType="application/vnd.openxmlformats-officedocument.spreadsheetml.printerSettings"/>
  <Override PartName="/xl/embeddings/oleObject7.bin" ContentType="application/vnd.openxmlformats-officedocument.oleObject"/>
  <Override PartName="/xl/embeddings/oleObject15.bin" ContentType="application/vnd.openxmlformats-officedocument.oleObject"/>
  <Override PartName="/xl/embeddings/oleObject24.bin" ContentType="application/vnd.openxmlformats-officedocument.oleObject"/>
  <Override PartName="/xl/embeddings/oleObject33.bin" ContentType="application/vnd.openxmlformats-officedocument.oleObject"/>
  <Override PartName="/xl/embeddings/oleObject42.bin" ContentType="application/vnd.openxmlformats-officedocument.oleObject"/>
  <Override PartName="/xl/embeddings/oleObject5.bin" ContentType="application/vnd.openxmlformats-officedocument.oleObject"/>
  <Override PartName="/xl/embeddings/oleObject13.bin" ContentType="application/vnd.openxmlformats-officedocument.oleObject"/>
  <Override PartName="/xl/embeddings/oleObject22.bin" ContentType="application/vnd.openxmlformats-officedocument.oleObject"/>
  <Override PartName="/xl/embeddings/oleObject31.bin" ContentType="application/vnd.openxmlformats-officedocument.oleObject"/>
  <Override PartName="/xl/embeddings/oleObject40.bin" ContentType="application/vnd.openxmlformats-officedocument.oleObject"/>
  <Default Extension="emf" ContentType="image/x-emf"/>
  <Override PartName="/xl/embeddings/oleObject3.bin" ContentType="application/vnd.openxmlformats-officedocument.oleObject"/>
  <Override PartName="/xl/embeddings/oleObject11.bin" ContentType="application/vnd.openxmlformats-officedocument.oleObject"/>
  <Override PartName="/xl/embeddings/oleObject20.bin" ContentType="application/vnd.openxmlformats-officedocument.oleObject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240" windowHeight="12585" activeTab="1"/>
  </bookViews>
  <sheets>
    <sheet name="01-Datos y Cargas" sheetId="1" r:id="rId1"/>
    <sheet name="02-Verificación Estabilidad " sheetId="2" r:id="rId2"/>
    <sheet name="03- " sheetId="3" r:id="rId3"/>
  </sheets>
  <calcPr calcId="125725"/>
</workbook>
</file>

<file path=xl/calcChain.xml><?xml version="1.0" encoding="utf-8"?>
<calcChain xmlns="http://schemas.openxmlformats.org/spreadsheetml/2006/main">
  <c r="K9" i="1"/>
  <c r="F218" i="2"/>
  <c r="C22" l="1"/>
  <c r="C21"/>
  <c r="K112" s="1"/>
  <c r="C20"/>
  <c r="E227" l="1"/>
  <c r="D236"/>
  <c r="D159" l="1"/>
  <c r="E149"/>
  <c r="E144"/>
  <c r="H68"/>
  <c r="E166"/>
  <c r="E147" l="1"/>
  <c r="C23"/>
  <c r="C30"/>
  <c r="F44" s="1"/>
  <c r="C29"/>
  <c r="F43" s="1"/>
  <c r="C44"/>
  <c r="D44" s="1"/>
  <c r="K8" i="1"/>
  <c r="F12" i="2"/>
  <c r="C32" s="1"/>
  <c r="G9"/>
  <c r="I8" l="1"/>
  <c r="C26"/>
  <c r="C43" s="1"/>
  <c r="D43" s="1"/>
  <c r="H43" s="1"/>
  <c r="J17" i="1"/>
  <c r="C25" i="2"/>
  <c r="I120" s="1"/>
  <c r="C28"/>
  <c r="F42" s="1"/>
  <c r="H44"/>
  <c r="D14"/>
  <c r="H19" i="1"/>
  <c r="H17"/>
  <c r="H16"/>
  <c r="H15" s="1"/>
  <c r="J18"/>
  <c r="J16"/>
  <c r="J15" s="1"/>
  <c r="J19"/>
  <c r="D123" i="2" l="1"/>
  <c r="D125" s="1"/>
  <c r="C42"/>
  <c r="D42" s="1"/>
  <c r="E45" s="1"/>
  <c r="C93" s="1"/>
  <c r="E54"/>
  <c r="C94"/>
  <c r="D127" l="1"/>
  <c r="D129" s="1"/>
  <c r="D133" s="1"/>
  <c r="D136" s="1"/>
  <c r="H138" s="1"/>
  <c r="G125"/>
  <c r="D155"/>
  <c r="D157" s="1"/>
  <c r="H42"/>
  <c r="H45" s="1"/>
  <c r="F65" s="1"/>
  <c r="F68" s="1"/>
  <c r="D93"/>
  <c r="E57" l="1"/>
  <c r="E78"/>
  <c r="E75"/>
  <c r="B118" s="1"/>
  <c r="F118" l="1"/>
  <c r="C118"/>
  <c r="D118"/>
  <c r="H232" l="1"/>
  <c r="D234" s="1"/>
  <c r="J213"/>
  <c r="D216" l="1"/>
  <c r="D220" s="1"/>
  <c r="D223" s="1"/>
  <c r="G225" s="1"/>
</calcChain>
</file>

<file path=xl/sharedStrings.xml><?xml version="1.0" encoding="utf-8"?>
<sst xmlns="http://schemas.openxmlformats.org/spreadsheetml/2006/main" count="193" uniqueCount="145">
  <si>
    <t>a</t>
  </si>
  <si>
    <t>Valores Propuestos</t>
  </si>
  <si>
    <t>cm</t>
  </si>
  <si>
    <t xml:space="preserve"> A = 1/3 B =</t>
  </si>
  <si>
    <t xml:space="preserve"> B = 1/2 a 2/3 H =</t>
  </si>
  <si>
    <t xml:space="preserve"> B' = 1/12 H a 1/10 H =</t>
  </si>
  <si>
    <t xml:space="preserve"> C = 1/24 H =</t>
  </si>
  <si>
    <t xml:space="preserve"> D = 1/12 H a 1/10 H =</t>
  </si>
  <si>
    <t>CARACTERISTICAS DEL SUELO</t>
  </si>
  <si>
    <t>Kp: Coeficiente de Empuje Pasivo =</t>
  </si>
  <si>
    <t>Ka: Coeficiente de Empuje Activo =</t>
  </si>
  <si>
    <t>No se registra presencia de Napa Freática en la profundidad analizada.</t>
  </si>
  <si>
    <t xml:space="preserve">relleno y compactación s/Estudio de Suelos realizado en el lugar de emplazamiento de las Obras. </t>
  </si>
  <si>
    <t>Cb: Coeficiente de Balasto =</t>
  </si>
  <si>
    <r>
      <rPr>
        <sz val="12"/>
        <color theme="1"/>
        <rFont val="Symbol"/>
        <family val="1"/>
        <charset val="2"/>
      </rPr>
      <t>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>: Tensión Admisible =</t>
    </r>
  </si>
  <si>
    <r>
      <t>Kg/cm</t>
    </r>
    <r>
      <rPr>
        <vertAlign val="superscript"/>
        <sz val="12"/>
        <color theme="1"/>
        <rFont val="Times New Roman"/>
        <family val="1"/>
      </rPr>
      <t>2</t>
    </r>
  </si>
  <si>
    <r>
      <t>Kg/cm</t>
    </r>
    <r>
      <rPr>
        <vertAlign val="superscript"/>
        <sz val="12"/>
        <color theme="1"/>
        <rFont val="Times New Roman"/>
        <family val="1"/>
      </rPr>
      <t>3</t>
    </r>
  </si>
  <si>
    <r>
      <rPr>
        <u/>
        <sz val="12"/>
        <color theme="1"/>
        <rFont val="Times New Roman"/>
        <family val="1"/>
      </rPr>
      <t>NOTA</t>
    </r>
    <r>
      <rPr>
        <sz val="12"/>
        <color theme="1"/>
        <rFont val="Times New Roman"/>
        <family val="1"/>
      </rPr>
      <t xml:space="preserve">: Ejecutar el Muro de Contención en Mensula luego de haber ejecutado los Trabajos de limpieza, </t>
    </r>
  </si>
  <si>
    <t>DIMENSIONES DEL MURO EN MÉNSULA</t>
  </si>
  <si>
    <t>MURO DE CONTENCIÓN DE HORMIGÓN ARMADO EN MÉNSULA</t>
  </si>
  <si>
    <r>
      <t>ton/m</t>
    </r>
    <r>
      <rPr>
        <vertAlign val="superscript"/>
        <sz val="12"/>
        <color theme="1"/>
        <rFont val="Times New Roman"/>
        <family val="1"/>
      </rPr>
      <t>3</t>
    </r>
  </si>
  <si>
    <t xml:space="preserve"> superior, s/Proyecto. </t>
  </si>
  <si>
    <t xml:space="preserve"> Valores Predimensionado (cm)</t>
  </si>
  <si>
    <t xml:space="preserve">con material calcareo sin plasticidad. El suelo se clasifica como SM, arenas limosas, limos arenosos. </t>
  </si>
  <si>
    <t>1- CARGAS Y EMPUJES GENERADOS POR EL TERRENO.</t>
  </si>
  <si>
    <t>Los muros de contención están sometidos a una serie de cargas y empujes, entre los que podemos citar:</t>
  </si>
  <si>
    <t xml:space="preserve">1 - Empujes activos y pasivos generados por el suelo. </t>
  </si>
  <si>
    <t xml:space="preserve">2 - Empujes generados por el agua qeue contiene el suelo. </t>
  </si>
  <si>
    <t xml:space="preserve">3 - Peso propio. </t>
  </si>
  <si>
    <t xml:space="preserve">4 - Reacción vertical del suelo. </t>
  </si>
  <si>
    <t xml:space="preserve">5 - Fuerza de fricción con la base. </t>
  </si>
  <si>
    <t xml:space="preserve">6 - Sobrecargas sobre el relleno. </t>
  </si>
  <si>
    <t xml:space="preserve">7 - Subpresión. </t>
  </si>
  <si>
    <t>Donde:</t>
  </si>
  <si>
    <r>
      <rPr>
        <sz val="12"/>
        <color theme="1"/>
        <rFont val="Symbol"/>
        <family val="1"/>
        <charset val="2"/>
      </rPr>
      <t>g</t>
    </r>
    <r>
      <rPr>
        <sz val="12"/>
        <color theme="1"/>
        <rFont val="Times New Roman"/>
        <family val="1"/>
      </rPr>
      <t xml:space="preserve"> : Peso Específico del suelo =</t>
    </r>
  </si>
  <si>
    <t xml:space="preserve">0.33 a 0.27 </t>
  </si>
  <si>
    <t>3.00 a 3.70</t>
  </si>
  <si>
    <t>Kg/m</t>
  </si>
  <si>
    <t>Luego:</t>
  </si>
  <si>
    <r>
      <t>Kg/m</t>
    </r>
    <r>
      <rPr>
        <vertAlign val="superscript"/>
        <sz val="11"/>
        <color theme="1"/>
        <rFont val="Calibri"/>
        <family val="2"/>
        <scheme val="minor"/>
      </rPr>
      <t>3</t>
    </r>
  </si>
  <si>
    <t xml:space="preserve"> H: Altura considerada para el Análisis =</t>
  </si>
  <si>
    <r>
      <rPr>
        <sz val="11"/>
        <color theme="1"/>
        <rFont val="Symbol"/>
        <family val="1"/>
        <charset val="2"/>
      </rPr>
      <t xml:space="preserve"> b</t>
    </r>
    <r>
      <rPr>
        <sz val="11"/>
        <color theme="1"/>
        <rFont val="Calibri"/>
        <family val="2"/>
        <scheme val="minor"/>
      </rPr>
      <t xml:space="preserve"> = Angulo de Inclinación superior del Terreno =</t>
    </r>
  </si>
  <si>
    <r>
      <rPr>
        <sz val="11"/>
        <color theme="1"/>
        <rFont val="Symbol"/>
        <family val="1"/>
        <charset val="2"/>
      </rPr>
      <t xml:space="preserve"> f</t>
    </r>
    <r>
      <rPr>
        <sz val="11"/>
        <color theme="1"/>
        <rFont val="Calibri"/>
        <family val="2"/>
        <scheme val="minor"/>
      </rPr>
      <t xml:space="preserve"> = Angulo de fricción interna del Suelo Granular = </t>
    </r>
  </si>
  <si>
    <r>
      <rPr>
        <sz val="11"/>
        <color theme="1"/>
        <rFont val="Symbol"/>
        <family val="1"/>
        <charset val="2"/>
      </rPr>
      <t xml:space="preserve"> g</t>
    </r>
    <r>
      <rPr>
        <sz val="11"/>
        <color theme="1"/>
        <rFont val="Calibri"/>
        <family val="2"/>
        <scheme val="minor"/>
      </rPr>
      <t>s =</t>
    </r>
  </si>
  <si>
    <t>: Presión activa para suelos granulares</t>
  </si>
  <si>
    <t>Se confecciona la siguiente tabla para determinar el momento Resistente:</t>
  </si>
  <si>
    <t>Area</t>
  </si>
  <si>
    <t xml:space="preserve">Peso/unidad de </t>
  </si>
  <si>
    <t xml:space="preserve">Brazo del Momento </t>
  </si>
  <si>
    <t>Momento</t>
  </si>
  <si>
    <t>Nro.</t>
  </si>
  <si>
    <t>Sección</t>
  </si>
  <si>
    <t>3 - Verificación al Volcamiento.</t>
  </si>
  <si>
    <t>5 - Verificación al deslizamiento.</t>
  </si>
  <si>
    <r>
      <t>(m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</si>
  <si>
    <t>(Kgm/m)</t>
  </si>
  <si>
    <t>A=</t>
  </si>
  <si>
    <t>B =</t>
  </si>
  <si>
    <t>B = C =</t>
  </si>
  <si>
    <t>D =</t>
  </si>
  <si>
    <t>H =</t>
  </si>
  <si>
    <r>
      <rPr>
        <sz val="12"/>
        <color theme="1"/>
        <rFont val="Symbol"/>
        <family val="1"/>
        <charset val="2"/>
      </rPr>
      <t>g</t>
    </r>
    <r>
      <rPr>
        <sz val="12"/>
        <color theme="1"/>
        <rFont val="Times New Roman"/>
        <family val="1"/>
      </rPr>
      <t xml:space="preserve"> </t>
    </r>
    <r>
      <rPr>
        <vertAlign val="subscript"/>
        <sz val="12"/>
        <color theme="1"/>
        <rFont val="Times New Roman"/>
        <family val="1"/>
      </rPr>
      <t>H°</t>
    </r>
    <r>
      <rPr>
        <sz val="12"/>
        <color theme="1"/>
        <rFont val="Times New Roman"/>
        <family val="1"/>
      </rPr>
      <t>:</t>
    </r>
  </si>
  <si>
    <r>
      <rPr>
        <sz val="12"/>
        <color theme="1"/>
        <rFont val="Symbol"/>
        <family val="1"/>
        <charset val="2"/>
      </rPr>
      <t>g</t>
    </r>
    <r>
      <rPr>
        <vertAlign val="subscript"/>
        <sz val="12"/>
        <color theme="1"/>
        <rFont val="Times New Roman"/>
        <family val="1"/>
      </rPr>
      <t xml:space="preserve"> suelo</t>
    </r>
    <r>
      <rPr>
        <sz val="12"/>
        <color theme="1"/>
        <rFont val="Times New Roman"/>
        <family val="1"/>
      </rPr>
      <t xml:space="preserve">: </t>
    </r>
  </si>
  <si>
    <t>L =</t>
  </si>
  <si>
    <t>m</t>
  </si>
  <si>
    <t xml:space="preserve">Datos Geométricos: </t>
  </si>
  <si>
    <t>1 - Empuje Horizontal generado por el suelo.</t>
  </si>
  <si>
    <t>2 - Cálculo de las Fuerzas Verticales.</t>
  </si>
  <si>
    <t>4 - Verificación de las Tensiones sobre el Terreno.</t>
  </si>
  <si>
    <t>7 - Armadura horizontal.</t>
  </si>
  <si>
    <t>Longitud (Kg/m)</t>
  </si>
  <si>
    <r>
      <t>x</t>
    </r>
    <r>
      <rPr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=</t>
    </r>
  </si>
  <si>
    <r>
      <t>x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=</t>
    </r>
  </si>
  <si>
    <r>
      <t>x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=</t>
    </r>
  </si>
  <si>
    <t>medido desde el punto C (m)</t>
  </si>
  <si>
    <t>verificación al Volcamiento</t>
  </si>
  <si>
    <r>
      <rPr>
        <u/>
        <sz val="12"/>
        <color theme="1"/>
        <rFont val="Times New Roman"/>
        <family val="1"/>
      </rPr>
      <t>Obs:</t>
    </r>
    <r>
      <rPr>
        <sz val="12"/>
        <color theme="1"/>
        <rFont val="Times New Roman"/>
        <family val="1"/>
      </rPr>
      <t xml:space="preserve"> En este estado de cargas no se considera la Sobrecarga "q" por resultar favorable para la </t>
    </r>
  </si>
  <si>
    <t>Momento de volteo:</t>
  </si>
  <si>
    <r>
      <t>H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=</t>
    </r>
  </si>
  <si>
    <t>Kgm/m</t>
  </si>
  <si>
    <t xml:space="preserve">Verifica la tensión máxima admisible del suelo. </t>
  </si>
  <si>
    <t>Las tensiones sobrel el terreno, calculadas a partir de las cargas de servicio se calculan a partir del punto</t>
  </si>
  <si>
    <t>de aplicación de la resultante de cargas x:</t>
  </si>
  <si>
    <t xml:space="preserve">       La resultante cae dentro del 1er nucleo, no existiendo tracciones en la Base.</t>
  </si>
  <si>
    <t>Como              , las tensiones se calculan del siguiente modo:</t>
  </si>
  <si>
    <r>
      <t>Kg/cm</t>
    </r>
    <r>
      <rPr>
        <vertAlign val="superscript"/>
        <sz val="11"/>
        <color theme="1"/>
        <rFont val="Times New Roman"/>
        <family val="1"/>
      </rPr>
      <t>2</t>
    </r>
  </si>
  <si>
    <t>una componente horizontal y vertical. Bajo esa condición, debe verificarse:</t>
  </si>
  <si>
    <t>f = Coeficiente de fricción en el plano de contacto H°-Suelo= 0.55</t>
  </si>
  <si>
    <r>
      <rPr>
        <sz val="11"/>
        <color theme="1"/>
        <rFont val="Symbol"/>
        <family val="1"/>
        <charset val="2"/>
      </rPr>
      <t>g</t>
    </r>
    <r>
      <rPr>
        <vertAlign val="sub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= Coeficiente de seguridad contra el deslizamiento = 1.5</t>
    </r>
  </si>
  <si>
    <t>Siendo:</t>
  </si>
  <si>
    <t>Para un espesor de pared C =</t>
  </si>
  <si>
    <t>W = peso del muro + suelo por encima de la base</t>
  </si>
  <si>
    <r>
      <t>E</t>
    </r>
    <r>
      <rPr>
        <vertAlign val="subscript"/>
        <sz val="11"/>
        <color theme="1"/>
        <rFont val="Times New Roman"/>
        <family val="1"/>
      </rPr>
      <t>H</t>
    </r>
    <r>
      <rPr>
        <sz val="11"/>
        <color theme="1"/>
        <rFont val="Times New Roman"/>
        <family val="1"/>
      </rPr>
      <t xml:space="preserve"> = Componente horizontal del Empuje.</t>
    </r>
  </si>
  <si>
    <r>
      <t>E</t>
    </r>
    <r>
      <rPr>
        <vertAlign val="subscript"/>
        <sz val="11"/>
        <color theme="1"/>
        <rFont val="Times New Roman"/>
        <family val="1"/>
      </rPr>
      <t>v</t>
    </r>
    <r>
      <rPr>
        <sz val="11"/>
        <color theme="1"/>
        <rFont val="Times New Roman"/>
        <family val="1"/>
      </rPr>
      <t xml:space="preserve"> = Componente vertical del Empuje </t>
    </r>
  </si>
  <si>
    <t>Se calcula inicialmente el empuje horizontal sobre la sección 1-1</t>
  </si>
  <si>
    <t>=</t>
  </si>
  <si>
    <r>
      <rPr>
        <sz val="11"/>
        <color theme="1"/>
        <rFont val="Symbol"/>
        <family val="1"/>
        <charset val="2"/>
      </rPr>
      <t>s</t>
    </r>
    <r>
      <rPr>
        <vertAlign val="subscript"/>
        <sz val="11"/>
        <color theme="1"/>
        <rFont val="Times New Roman"/>
        <family val="1"/>
      </rPr>
      <t>max</t>
    </r>
    <r>
      <rPr>
        <sz val="11"/>
        <color theme="1"/>
        <rFont val="Times New Roman"/>
        <family val="1"/>
      </rPr>
      <t>=</t>
    </r>
  </si>
  <si>
    <r>
      <rPr>
        <sz val="11"/>
        <color theme="1"/>
        <rFont val="Symbol"/>
        <family val="1"/>
        <charset val="2"/>
      </rPr>
      <t>s</t>
    </r>
    <r>
      <rPr>
        <vertAlign val="subscript"/>
        <sz val="11"/>
        <color theme="1"/>
        <rFont val="Times New Roman"/>
        <family val="1"/>
      </rPr>
      <t>min</t>
    </r>
    <r>
      <rPr>
        <sz val="11"/>
        <color theme="1"/>
        <rFont val="Times New Roman"/>
        <family val="1"/>
      </rPr>
      <t>=</t>
    </r>
  </si>
  <si>
    <r>
      <rPr>
        <sz val="11"/>
        <color theme="1"/>
        <rFont val="Symbol"/>
        <family val="1"/>
        <charset val="2"/>
      </rPr>
      <t>s</t>
    </r>
    <r>
      <rPr>
        <vertAlign val="subscript"/>
        <sz val="11"/>
        <color theme="1"/>
        <rFont val="Symbol"/>
        <family val="1"/>
        <charset val="2"/>
      </rPr>
      <t>2</t>
    </r>
    <r>
      <rPr>
        <sz val="11"/>
        <color theme="1"/>
        <rFont val="Times New Roman"/>
        <family val="1"/>
      </rPr>
      <t>=</t>
    </r>
  </si>
  <si>
    <r>
      <rPr>
        <sz val="11"/>
        <color theme="1"/>
        <rFont val="Symbol"/>
        <family val="1"/>
        <charset val="2"/>
      </rPr>
      <t>s</t>
    </r>
    <r>
      <rPr>
        <vertAlign val="subscript"/>
        <sz val="11"/>
        <color theme="1"/>
        <rFont val="Symbol"/>
        <family val="1"/>
        <charset val="2"/>
      </rPr>
      <t>3</t>
    </r>
    <r>
      <rPr>
        <sz val="11"/>
        <color theme="1"/>
        <rFont val="Times New Roman"/>
        <family val="1"/>
      </rPr>
      <t>=</t>
    </r>
  </si>
  <si>
    <t xml:space="preserve">6 - Armadura vertical del Muro y Verificación al Corte. </t>
  </si>
  <si>
    <t xml:space="preserve">  Empuje horizontal y Planos de Falla Analizados:</t>
  </si>
  <si>
    <t>Sección 1-1 , Sección 2-2 , Sección 3-3</t>
  </si>
  <si>
    <r>
      <t>Diagrama de presiones sobre el Suelo (Kg/cm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</si>
  <si>
    <t>KNm/m</t>
  </si>
  <si>
    <r>
      <t xml:space="preserve">  f*</t>
    </r>
    <r>
      <rPr>
        <vertAlign val="sub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= 0.85 x 20000KN/m</t>
    </r>
    <r>
      <rPr>
        <vertAlign val="superscript"/>
        <sz val="11"/>
        <color theme="1"/>
        <rFont val="Times New Roman"/>
        <family val="1"/>
      </rPr>
      <t xml:space="preserve">2 </t>
    </r>
  </si>
  <si>
    <t xml:space="preserve">  Obs.: H-20 equivalente a un H-17 p/CIRSOC 1982)</t>
  </si>
  <si>
    <r>
      <t>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/m</t>
    </r>
  </si>
  <si>
    <t>El CIRSOC 201/05 especifica:</t>
  </si>
  <si>
    <t>(verifica)</t>
  </si>
  <si>
    <t>Verificación al Corte en la sección 1-1</t>
  </si>
  <si>
    <t>KN/m</t>
  </si>
  <si>
    <r>
      <t xml:space="preserve">KN/m  </t>
    </r>
    <r>
      <rPr>
        <sz val="11"/>
        <color theme="1"/>
        <rFont val="Calibri"/>
        <family val="2"/>
      </rPr>
      <t>˃ V</t>
    </r>
    <r>
      <rPr>
        <vertAlign val="subscript"/>
        <sz val="11"/>
        <color theme="1"/>
        <rFont val="Calibri"/>
        <family val="2"/>
      </rPr>
      <t>n</t>
    </r>
  </si>
  <si>
    <r>
      <t>V</t>
    </r>
    <r>
      <rPr>
        <vertAlign val="subscript"/>
        <sz val="10"/>
        <color theme="1"/>
        <rFont val="Times New Roman"/>
        <family val="1"/>
      </rPr>
      <t>n</t>
    </r>
    <r>
      <rPr>
        <sz val="10"/>
        <color theme="1"/>
        <rFont val="Times New Roman"/>
        <family val="1"/>
      </rPr>
      <t>: Resistencia nominal de cada sección)</t>
    </r>
  </si>
  <si>
    <r>
      <t>V</t>
    </r>
    <r>
      <rPr>
        <vertAlign val="subscript"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: Resistencia al Corte aportada por el H°</t>
    </r>
  </si>
  <si>
    <t xml:space="preserve">Nota: Para el armado de la cara frontal del Muro se seleciona la armadura mínima: </t>
  </si>
  <si>
    <r>
      <t xml:space="preserve">  1</t>
    </r>
    <r>
      <rPr>
        <sz val="11"/>
        <color theme="1"/>
        <rFont val="Symbol"/>
        <family val="1"/>
        <charset val="2"/>
      </rPr>
      <t>f8</t>
    </r>
    <r>
      <rPr>
        <sz val="11"/>
        <color theme="1"/>
        <rFont val="Times New Roman"/>
        <family val="1"/>
      </rPr>
      <t>c/15cm</t>
    </r>
  </si>
  <si>
    <t>KNm</t>
  </si>
  <si>
    <t xml:space="preserve">Repartición: </t>
  </si>
  <si>
    <r>
      <t>1</t>
    </r>
    <r>
      <rPr>
        <sz val="11"/>
        <color theme="1"/>
        <rFont val="Symbol"/>
        <family val="1"/>
        <charset val="2"/>
      </rPr>
      <t>f8</t>
    </r>
    <r>
      <rPr>
        <sz val="11"/>
        <color theme="1"/>
        <rFont val="Times New Roman"/>
        <family val="1"/>
      </rPr>
      <t>c/15 cm</t>
    </r>
  </si>
  <si>
    <t>Verificación al corte:</t>
  </si>
  <si>
    <t>Si se considera en este caso el efecto favorable de la presión inferior, el momento resulta:</t>
  </si>
  <si>
    <t>Armadural del Talón posterior:</t>
  </si>
  <si>
    <r>
      <t>V</t>
    </r>
    <r>
      <rPr>
        <vertAlign val="subscript"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: Resist. requerida calculada con cargas mayoradas</t>
    </r>
  </si>
  <si>
    <r>
      <rPr>
        <sz val="10"/>
        <color theme="1"/>
        <rFont val="Symbol"/>
        <family val="1"/>
        <charset val="2"/>
      </rPr>
      <t>f</t>
    </r>
    <r>
      <rPr>
        <sz val="10"/>
        <color theme="1"/>
        <rFont val="Times New Roman"/>
        <family val="1"/>
      </rPr>
      <t>=0.75 (Coef. reducción de acuerdo al tipo de rotura)</t>
    </r>
  </si>
  <si>
    <t>2- VERIFICACIONES DE ESTABILIDAD Y TENSIONES SOBRE EL TERRENO</t>
  </si>
  <si>
    <r>
      <t>En el caso que el terreno posea una inclinacíón</t>
    </r>
    <r>
      <rPr>
        <sz val="12"/>
        <color theme="1"/>
        <rFont val="Symbol"/>
        <family val="1"/>
        <charset val="2"/>
      </rPr>
      <t xml:space="preserve"> b</t>
    </r>
    <r>
      <rPr>
        <sz val="12"/>
        <color theme="1"/>
        <rFont val="Times New Roman"/>
        <family val="1"/>
      </rPr>
      <t xml:space="preserve">, el empuje que generará sobre el muro tendrá </t>
    </r>
  </si>
  <si>
    <r>
      <t xml:space="preserve"> h</t>
    </r>
    <r>
      <rPr>
        <sz val="12"/>
        <color theme="1"/>
        <rFont val="Symbol"/>
        <family val="1"/>
        <charset val="2"/>
      </rPr>
      <t xml:space="preserve"> </t>
    </r>
    <r>
      <rPr>
        <sz val="12"/>
        <color theme="1"/>
        <rFont val="Times New Roman"/>
        <family val="1"/>
      </rPr>
      <t xml:space="preserve">= Desnivel de Terreno a salvar: </t>
    </r>
  </si>
  <si>
    <t xml:space="preserve"> H = h + D =</t>
  </si>
  <si>
    <t>h = (H - D ) =</t>
  </si>
  <si>
    <t xml:space="preserve"> (1) El Muro sube unos 150 cm por encima del terreno </t>
  </si>
  <si>
    <r>
      <rPr>
        <u/>
        <sz val="12"/>
        <color theme="1"/>
        <rFont val="Times New Roman"/>
        <family val="1"/>
      </rPr>
      <t>ESTRATIGAFÍA</t>
    </r>
    <r>
      <rPr>
        <sz val="12"/>
        <color theme="1"/>
        <rFont val="Times New Roman"/>
        <family val="1"/>
      </rPr>
      <t>: En los diferentes sondeos realizados, aprarece primeramente una capa de limo arenoso,</t>
    </r>
  </si>
  <si>
    <r>
      <t>m , donde: c</t>
    </r>
    <r>
      <rPr>
        <vertAlign val="sub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: Recubrimiento</t>
    </r>
  </si>
  <si>
    <r>
      <t xml:space="preserve">  b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>=  1m   ;    d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= (0.198m)</t>
    </r>
    <r>
      <rPr>
        <vertAlign val="superscript"/>
        <sz val="11"/>
        <color theme="1"/>
        <rFont val="Times New Roman"/>
        <family val="1"/>
      </rPr>
      <t>2</t>
    </r>
  </si>
  <si>
    <t>T: Talon=</t>
  </si>
  <si>
    <t>Ancho base=</t>
  </si>
  <si>
    <t>D+T=</t>
  </si>
  <si>
    <r>
      <t>0.0025 . 100cm . 25cm  = 6.25 cm</t>
    </r>
    <r>
      <rPr>
        <vertAlign val="superscript"/>
        <sz val="11"/>
        <color theme="1"/>
        <rFont val="Times New Roman"/>
        <family val="1"/>
      </rPr>
      <t>2</t>
    </r>
  </si>
  <si>
    <r>
      <t>1</t>
    </r>
    <r>
      <rPr>
        <sz val="11"/>
        <color theme="1"/>
        <rFont val="Symbol"/>
        <family val="1"/>
        <charset val="2"/>
      </rPr>
      <t>f10</t>
    </r>
    <r>
      <rPr>
        <sz val="11"/>
        <color theme="1"/>
        <rFont val="Times New Roman"/>
        <family val="1"/>
      </rPr>
      <t>c/12.5 cm   ( 6.28cm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/m )</t>
    </r>
  </si>
  <si>
    <r>
      <t xml:space="preserve">                d</t>
    </r>
    <r>
      <rPr>
        <vertAlign val="sub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: Diámeto Barra long.</t>
    </r>
  </si>
  <si>
    <t>8 - Armadura del Talón posterior y Verificación al corte (Sección 3-3).</t>
  </si>
  <si>
    <r>
      <t>cm</t>
    </r>
    <r>
      <rPr>
        <vertAlign val="superscript"/>
        <sz val="11"/>
        <color theme="1"/>
        <rFont val="Times New Roman"/>
        <family val="1"/>
      </rPr>
      <t xml:space="preserve">2  </t>
    </r>
  </si>
  <si>
    <r>
      <t>cm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/m  - 1</t>
    </r>
    <r>
      <rPr>
        <sz val="11"/>
        <color theme="1"/>
        <rFont val="Symbol"/>
        <family val="1"/>
        <charset val="2"/>
      </rPr>
      <t>f</t>
    </r>
    <r>
      <rPr>
        <sz val="11"/>
        <color theme="1"/>
        <rFont val="Times New Roman"/>
        <family val="1"/>
      </rPr>
      <t>10c/10 cm   ( 7.85cm2/m )</t>
    </r>
  </si>
  <si>
    <r>
      <t xml:space="preserve"> H</t>
    </r>
    <r>
      <rPr>
        <vertAlign val="subscript"/>
        <sz val="12"/>
        <color theme="1"/>
        <rFont val="Times New Roman"/>
        <family val="1"/>
      </rPr>
      <t xml:space="preserve">T </t>
    </r>
    <r>
      <rPr>
        <sz val="12"/>
        <color theme="1"/>
        <rFont val="Times New Roman"/>
        <family val="1"/>
      </rPr>
      <t>= H +110cm</t>
    </r>
    <r>
      <rPr>
        <vertAlign val="superscript"/>
        <sz val="12"/>
        <color theme="1"/>
        <rFont val="Times New Roman"/>
        <family val="1"/>
      </rPr>
      <t>(1)</t>
    </r>
    <r>
      <rPr>
        <sz val="12"/>
        <color theme="1"/>
        <rFont val="Times New Roman"/>
        <family val="1"/>
      </rPr>
      <t xml:space="preserve"> =</t>
    </r>
  </si>
  <si>
    <r>
      <t>Es posible adoptar s/cálculo: 1</t>
    </r>
    <r>
      <rPr>
        <sz val="11"/>
        <color theme="1"/>
        <rFont val="Symbol"/>
        <family val="1"/>
        <charset val="2"/>
      </rPr>
      <t>f</t>
    </r>
    <r>
      <rPr>
        <sz val="11"/>
        <color theme="1"/>
        <rFont val="Times New Roman"/>
        <family val="1"/>
      </rPr>
      <t>12c/10cm</t>
    </r>
  </si>
</sst>
</file>

<file path=xl/styles.xml><?xml version="1.0" encoding="utf-8"?>
<styleSheet xmlns="http://schemas.openxmlformats.org/spreadsheetml/2006/main">
  <numFmts count="4">
    <numFmt numFmtId="164" formatCode="0.0000"/>
    <numFmt numFmtId="165" formatCode="0.0"/>
    <numFmt numFmtId="166" formatCode="0.000"/>
    <numFmt numFmtId="167" formatCode="0.00000"/>
  </numFmts>
  <fonts count="2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Symbol"/>
      <family val="1"/>
      <charset val="2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0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u/>
      <sz val="11"/>
      <color theme="1"/>
      <name val="Times New Roman"/>
      <family val="1"/>
    </font>
    <font>
      <vertAlign val="subscript"/>
      <sz val="11"/>
      <color theme="1"/>
      <name val="Symbol"/>
      <family val="1"/>
      <charset val="2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sz val="10"/>
      <color theme="1"/>
      <name val="Symbol"/>
      <family val="1"/>
      <charset val="2"/>
    </font>
    <font>
      <vertAlign val="subscript"/>
      <sz val="10"/>
      <color theme="1"/>
      <name val="Times New Roman"/>
      <family val="1"/>
    </font>
    <font>
      <b/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Border="1"/>
    <xf numFmtId="2" fontId="1" fillId="0" borderId="0" xfId="0" applyNumberFormat="1" applyFont="1"/>
    <xf numFmtId="0" fontId="6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7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2" fillId="0" borderId="13" xfId="0" applyFont="1" applyBorder="1"/>
    <xf numFmtId="1" fontId="1" fillId="0" borderId="3" xfId="0" applyNumberFormat="1" applyFont="1" applyBorder="1"/>
    <xf numFmtId="1" fontId="1" fillId="0" borderId="12" xfId="0" applyNumberFormat="1" applyFont="1" applyBorder="1"/>
    <xf numFmtId="1" fontId="1" fillId="0" borderId="0" xfId="0" applyNumberFormat="1" applyFont="1" applyBorder="1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/>
    <xf numFmtId="0" fontId="1" fillId="0" borderId="15" xfId="0" applyFont="1" applyBorder="1"/>
    <xf numFmtId="0" fontId="0" fillId="0" borderId="15" xfId="0" applyBorder="1"/>
    <xf numFmtId="1" fontId="0" fillId="0" borderId="15" xfId="0" applyNumberFormat="1" applyBorder="1" applyAlignment="1">
      <alignment horizontal="right"/>
    </xf>
    <xf numFmtId="164" fontId="1" fillId="0" borderId="0" xfId="0" applyNumberFormat="1" applyFont="1" applyAlignment="1">
      <alignment horizontal="right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10" fillId="0" borderId="16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/>
    <xf numFmtId="0" fontId="2" fillId="0" borderId="0" xfId="0" applyFont="1"/>
    <xf numFmtId="165" fontId="10" fillId="0" borderId="0" xfId="0" applyNumberFormat="1" applyFont="1"/>
    <xf numFmtId="2" fontId="10" fillId="0" borderId="0" xfId="0" applyNumberFormat="1" applyFont="1"/>
    <xf numFmtId="166" fontId="10" fillId="0" borderId="0" xfId="0" applyNumberFormat="1" applyFont="1"/>
    <xf numFmtId="2" fontId="10" fillId="0" borderId="16" xfId="0" applyNumberFormat="1" applyFont="1" applyBorder="1" applyAlignment="1">
      <alignment horizontal="center"/>
    </xf>
    <xf numFmtId="165" fontId="10" fillId="0" borderId="0" xfId="0" applyNumberFormat="1" applyFont="1" applyAlignment="1">
      <alignment horizontal="right"/>
    </xf>
    <xf numFmtId="164" fontId="10" fillId="0" borderId="0" xfId="0" applyNumberFormat="1" applyFont="1"/>
    <xf numFmtId="2" fontId="10" fillId="0" borderId="0" xfId="0" applyNumberFormat="1" applyFont="1" applyAlignment="1">
      <alignment horizontal="left"/>
    </xf>
    <xf numFmtId="165" fontId="14" fillId="0" borderId="0" xfId="0" applyNumberFormat="1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textRotation="90"/>
    </xf>
    <xf numFmtId="166" fontId="12" fillId="0" borderId="0" xfId="0" applyNumberFormat="1" applyFont="1" applyAlignment="1">
      <alignment textRotation="90"/>
    </xf>
    <xf numFmtId="164" fontId="10" fillId="0" borderId="0" xfId="0" applyNumberFormat="1" applyFont="1" applyAlignment="1">
      <alignment horizontal="left"/>
    </xf>
    <xf numFmtId="166" fontId="10" fillId="0" borderId="0" xfId="0" applyNumberFormat="1" applyFont="1" applyAlignment="1">
      <alignment horizontal="right"/>
    </xf>
    <xf numFmtId="0" fontId="14" fillId="0" borderId="0" xfId="0" applyFont="1"/>
    <xf numFmtId="167" fontId="10" fillId="0" borderId="0" xfId="0" applyNumberFormat="1" applyFont="1"/>
    <xf numFmtId="0" fontId="10" fillId="0" borderId="1" xfId="0" applyFont="1" applyBorder="1"/>
    <xf numFmtId="2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right"/>
    </xf>
    <xf numFmtId="1" fontId="10" fillId="0" borderId="0" xfId="0" applyNumberFormat="1" applyFont="1"/>
    <xf numFmtId="0" fontId="12" fillId="0" borderId="0" xfId="0" applyFont="1" applyAlignment="1">
      <alignment horizontal="right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166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center" vertical="top"/>
    </xf>
    <xf numFmtId="165" fontId="10" fillId="0" borderId="17" xfId="0" applyNumberFormat="1" applyFont="1" applyBorder="1" applyAlignment="1">
      <alignment horizontal="center"/>
    </xf>
    <xf numFmtId="165" fontId="10" fillId="0" borderId="0" xfId="0" applyNumberFormat="1" applyFont="1" applyBorder="1" applyAlignment="1">
      <alignment horizontal="center"/>
    </xf>
    <xf numFmtId="2" fontId="1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1.wmf"/><Relationship Id="rId13" Type="http://schemas.openxmlformats.org/officeDocument/2006/relationships/image" Target="../media/image16.wmf"/><Relationship Id="rId18" Type="http://schemas.openxmlformats.org/officeDocument/2006/relationships/image" Target="../media/image21.wmf"/><Relationship Id="rId26" Type="http://schemas.openxmlformats.org/officeDocument/2006/relationships/image" Target="../media/image29.wmf"/><Relationship Id="rId39" Type="http://schemas.openxmlformats.org/officeDocument/2006/relationships/image" Target="../media/image42.wmf"/><Relationship Id="rId3" Type="http://schemas.openxmlformats.org/officeDocument/2006/relationships/image" Target="../media/image6.wmf"/><Relationship Id="rId21" Type="http://schemas.openxmlformats.org/officeDocument/2006/relationships/image" Target="../media/image24.wmf"/><Relationship Id="rId34" Type="http://schemas.openxmlformats.org/officeDocument/2006/relationships/image" Target="../media/image37.wmf"/><Relationship Id="rId42" Type="http://schemas.openxmlformats.org/officeDocument/2006/relationships/image" Target="../media/image45.emf"/><Relationship Id="rId7" Type="http://schemas.openxmlformats.org/officeDocument/2006/relationships/image" Target="../media/image10.wmf"/><Relationship Id="rId12" Type="http://schemas.openxmlformats.org/officeDocument/2006/relationships/image" Target="../media/image15.wmf"/><Relationship Id="rId17" Type="http://schemas.openxmlformats.org/officeDocument/2006/relationships/image" Target="../media/image20.wmf"/><Relationship Id="rId25" Type="http://schemas.openxmlformats.org/officeDocument/2006/relationships/image" Target="../media/image28.wmf"/><Relationship Id="rId33" Type="http://schemas.openxmlformats.org/officeDocument/2006/relationships/image" Target="../media/image36.wmf"/><Relationship Id="rId38" Type="http://schemas.openxmlformats.org/officeDocument/2006/relationships/image" Target="../media/image41.wmf"/><Relationship Id="rId2" Type="http://schemas.openxmlformats.org/officeDocument/2006/relationships/image" Target="../media/image5.wmf"/><Relationship Id="rId16" Type="http://schemas.openxmlformats.org/officeDocument/2006/relationships/image" Target="../media/image19.wmf"/><Relationship Id="rId20" Type="http://schemas.openxmlformats.org/officeDocument/2006/relationships/image" Target="../media/image23.wmf"/><Relationship Id="rId29" Type="http://schemas.openxmlformats.org/officeDocument/2006/relationships/image" Target="../media/image32.wmf"/><Relationship Id="rId41" Type="http://schemas.openxmlformats.org/officeDocument/2006/relationships/image" Target="../media/image44.emf"/><Relationship Id="rId1" Type="http://schemas.openxmlformats.org/officeDocument/2006/relationships/image" Target="../media/image4.wmf"/><Relationship Id="rId6" Type="http://schemas.openxmlformats.org/officeDocument/2006/relationships/image" Target="../media/image9.wmf"/><Relationship Id="rId11" Type="http://schemas.openxmlformats.org/officeDocument/2006/relationships/image" Target="../media/image14.wmf"/><Relationship Id="rId24" Type="http://schemas.openxmlformats.org/officeDocument/2006/relationships/image" Target="../media/image27.wmf"/><Relationship Id="rId32" Type="http://schemas.openxmlformats.org/officeDocument/2006/relationships/image" Target="../media/image35.wmf"/><Relationship Id="rId37" Type="http://schemas.openxmlformats.org/officeDocument/2006/relationships/image" Target="../media/image40.wmf"/><Relationship Id="rId40" Type="http://schemas.openxmlformats.org/officeDocument/2006/relationships/image" Target="../media/image43.wmf"/><Relationship Id="rId5" Type="http://schemas.openxmlformats.org/officeDocument/2006/relationships/image" Target="../media/image8.wmf"/><Relationship Id="rId15" Type="http://schemas.openxmlformats.org/officeDocument/2006/relationships/image" Target="../media/image18.emf"/><Relationship Id="rId23" Type="http://schemas.openxmlformats.org/officeDocument/2006/relationships/image" Target="../media/image26.wmf"/><Relationship Id="rId28" Type="http://schemas.openxmlformats.org/officeDocument/2006/relationships/image" Target="../media/image31.wmf"/><Relationship Id="rId36" Type="http://schemas.openxmlformats.org/officeDocument/2006/relationships/image" Target="../media/image39.wmf"/><Relationship Id="rId10" Type="http://schemas.openxmlformats.org/officeDocument/2006/relationships/image" Target="../media/image13.wmf"/><Relationship Id="rId19" Type="http://schemas.openxmlformats.org/officeDocument/2006/relationships/image" Target="../media/image22.wmf"/><Relationship Id="rId31" Type="http://schemas.openxmlformats.org/officeDocument/2006/relationships/image" Target="../media/image34.wmf"/><Relationship Id="rId4" Type="http://schemas.openxmlformats.org/officeDocument/2006/relationships/image" Target="../media/image7.wmf"/><Relationship Id="rId9" Type="http://schemas.openxmlformats.org/officeDocument/2006/relationships/image" Target="../media/image12.wmf"/><Relationship Id="rId14" Type="http://schemas.openxmlformats.org/officeDocument/2006/relationships/image" Target="../media/image17.wmf"/><Relationship Id="rId22" Type="http://schemas.openxmlformats.org/officeDocument/2006/relationships/image" Target="../media/image25.wmf"/><Relationship Id="rId27" Type="http://schemas.openxmlformats.org/officeDocument/2006/relationships/image" Target="../media/image30.emf"/><Relationship Id="rId30" Type="http://schemas.openxmlformats.org/officeDocument/2006/relationships/image" Target="../media/image33.wmf"/><Relationship Id="rId35" Type="http://schemas.openxmlformats.org/officeDocument/2006/relationships/image" Target="../media/image3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99722</xdr:colOff>
      <xdr:row>6</xdr:row>
      <xdr:rowOff>57151</xdr:rowOff>
    </xdr:from>
    <xdr:to>
      <xdr:col>5</xdr:col>
      <xdr:colOff>37127</xdr:colOff>
      <xdr:row>20</xdr:row>
      <xdr:rowOff>19050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6427" t="43000" r="48161" b="17800"/>
        <a:stretch>
          <a:fillRect/>
        </a:stretch>
      </xdr:blipFill>
      <xdr:spPr bwMode="auto">
        <a:xfrm>
          <a:off x="318797" y="1495426"/>
          <a:ext cx="2813955" cy="313372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68230</xdr:colOff>
      <xdr:row>17</xdr:row>
      <xdr:rowOff>76200</xdr:rowOff>
    </xdr:from>
    <xdr:to>
      <xdr:col>9</xdr:col>
      <xdr:colOff>85725</xdr:colOff>
      <xdr:row>33</xdr:row>
      <xdr:rowOff>118648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2662" t="19555" r="43170" b="22600"/>
        <a:stretch>
          <a:fillRect/>
        </a:stretch>
      </xdr:blipFill>
      <xdr:spPr bwMode="auto">
        <a:xfrm>
          <a:off x="1982755" y="3200400"/>
          <a:ext cx="3303620" cy="346192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114300</xdr:colOff>
      <xdr:row>99</xdr:row>
      <xdr:rowOff>9525</xdr:rowOff>
    </xdr:from>
    <xdr:to>
      <xdr:col>7</xdr:col>
      <xdr:colOff>218699</xdr:colOff>
      <xdr:row>119</xdr:row>
      <xdr:rowOff>116620</xdr:rowOff>
    </xdr:to>
    <xdr:pic>
      <xdr:nvPicPr>
        <xdr:cNvPr id="2195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6658" t="5460" r="53711" b="48269"/>
        <a:stretch>
          <a:fillRect/>
        </a:stretch>
      </xdr:blipFill>
      <xdr:spPr bwMode="auto">
        <a:xfrm>
          <a:off x="981075" y="17649825"/>
          <a:ext cx="4142999" cy="428857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oleObject" Target="../embeddings/oleObject10.bin"/><Relationship Id="rId18" Type="http://schemas.openxmlformats.org/officeDocument/2006/relationships/oleObject" Target="../embeddings/oleObject15.bin"/><Relationship Id="rId26" Type="http://schemas.openxmlformats.org/officeDocument/2006/relationships/oleObject" Target="../embeddings/oleObject23.bin"/><Relationship Id="rId39" Type="http://schemas.openxmlformats.org/officeDocument/2006/relationships/oleObject" Target="../embeddings/oleObject36.bin"/><Relationship Id="rId3" Type="http://schemas.openxmlformats.org/officeDocument/2006/relationships/vmlDrawing" Target="../drawings/vmlDrawing1.vml"/><Relationship Id="rId21" Type="http://schemas.openxmlformats.org/officeDocument/2006/relationships/oleObject" Target="../embeddings/oleObject18.bin"/><Relationship Id="rId34" Type="http://schemas.openxmlformats.org/officeDocument/2006/relationships/oleObject" Target="../embeddings/oleObject31.bin"/><Relationship Id="rId42" Type="http://schemas.openxmlformats.org/officeDocument/2006/relationships/oleObject" Target="../embeddings/oleObject39.bin"/><Relationship Id="rId47" Type="http://schemas.openxmlformats.org/officeDocument/2006/relationships/oleObject" Target="../embeddings/oleObject44.bin"/><Relationship Id="rId50" Type="http://schemas.openxmlformats.org/officeDocument/2006/relationships/oleObject" Target="../embeddings/oleObject47.bin"/><Relationship Id="rId7" Type="http://schemas.openxmlformats.org/officeDocument/2006/relationships/oleObject" Target="../embeddings/oleObject4.bin"/><Relationship Id="rId12" Type="http://schemas.openxmlformats.org/officeDocument/2006/relationships/oleObject" Target="../embeddings/oleObject9.bin"/><Relationship Id="rId17" Type="http://schemas.openxmlformats.org/officeDocument/2006/relationships/oleObject" Target="../embeddings/oleObject14.bin"/><Relationship Id="rId25" Type="http://schemas.openxmlformats.org/officeDocument/2006/relationships/oleObject" Target="../embeddings/oleObject22.bin"/><Relationship Id="rId33" Type="http://schemas.openxmlformats.org/officeDocument/2006/relationships/oleObject" Target="../embeddings/oleObject30.bin"/><Relationship Id="rId38" Type="http://schemas.openxmlformats.org/officeDocument/2006/relationships/oleObject" Target="../embeddings/oleObject35.bin"/><Relationship Id="rId46" Type="http://schemas.openxmlformats.org/officeDocument/2006/relationships/oleObject" Target="../embeddings/oleObject43.bin"/><Relationship Id="rId2" Type="http://schemas.openxmlformats.org/officeDocument/2006/relationships/drawing" Target="../drawings/drawing2.xml"/><Relationship Id="rId16" Type="http://schemas.openxmlformats.org/officeDocument/2006/relationships/oleObject" Target="../embeddings/oleObject13.bin"/><Relationship Id="rId20" Type="http://schemas.openxmlformats.org/officeDocument/2006/relationships/oleObject" Target="../embeddings/oleObject17.bin"/><Relationship Id="rId29" Type="http://schemas.openxmlformats.org/officeDocument/2006/relationships/oleObject" Target="../embeddings/oleObject26.bin"/><Relationship Id="rId41" Type="http://schemas.openxmlformats.org/officeDocument/2006/relationships/oleObject" Target="../embeddings/oleObject38.bin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3.bin"/><Relationship Id="rId11" Type="http://schemas.openxmlformats.org/officeDocument/2006/relationships/oleObject" Target="../embeddings/oleObject8.bin"/><Relationship Id="rId24" Type="http://schemas.openxmlformats.org/officeDocument/2006/relationships/oleObject" Target="../embeddings/oleObject21.bin"/><Relationship Id="rId32" Type="http://schemas.openxmlformats.org/officeDocument/2006/relationships/oleObject" Target="../embeddings/oleObject29.bin"/><Relationship Id="rId37" Type="http://schemas.openxmlformats.org/officeDocument/2006/relationships/oleObject" Target="../embeddings/oleObject34.bin"/><Relationship Id="rId40" Type="http://schemas.openxmlformats.org/officeDocument/2006/relationships/oleObject" Target="../embeddings/oleObject37.bin"/><Relationship Id="rId45" Type="http://schemas.openxmlformats.org/officeDocument/2006/relationships/oleObject" Target="../embeddings/oleObject42.bin"/><Relationship Id="rId5" Type="http://schemas.openxmlformats.org/officeDocument/2006/relationships/oleObject" Target="../embeddings/oleObject2.bin"/><Relationship Id="rId15" Type="http://schemas.openxmlformats.org/officeDocument/2006/relationships/oleObject" Target="../embeddings/oleObject12.bin"/><Relationship Id="rId23" Type="http://schemas.openxmlformats.org/officeDocument/2006/relationships/oleObject" Target="../embeddings/oleObject20.bin"/><Relationship Id="rId28" Type="http://schemas.openxmlformats.org/officeDocument/2006/relationships/oleObject" Target="../embeddings/oleObject25.bin"/><Relationship Id="rId36" Type="http://schemas.openxmlformats.org/officeDocument/2006/relationships/oleObject" Target="../embeddings/oleObject33.bin"/><Relationship Id="rId49" Type="http://schemas.openxmlformats.org/officeDocument/2006/relationships/oleObject" Target="../embeddings/oleObject46.bin"/><Relationship Id="rId10" Type="http://schemas.openxmlformats.org/officeDocument/2006/relationships/oleObject" Target="../embeddings/oleObject7.bin"/><Relationship Id="rId19" Type="http://schemas.openxmlformats.org/officeDocument/2006/relationships/oleObject" Target="../embeddings/oleObject16.bin"/><Relationship Id="rId31" Type="http://schemas.openxmlformats.org/officeDocument/2006/relationships/oleObject" Target="../embeddings/oleObject28.bin"/><Relationship Id="rId44" Type="http://schemas.openxmlformats.org/officeDocument/2006/relationships/oleObject" Target="../embeddings/oleObject41.bin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6.bin"/><Relationship Id="rId14" Type="http://schemas.openxmlformats.org/officeDocument/2006/relationships/oleObject" Target="../embeddings/oleObject11.bin"/><Relationship Id="rId22" Type="http://schemas.openxmlformats.org/officeDocument/2006/relationships/oleObject" Target="../embeddings/oleObject19.bin"/><Relationship Id="rId27" Type="http://schemas.openxmlformats.org/officeDocument/2006/relationships/oleObject" Target="../embeddings/oleObject24.bin"/><Relationship Id="rId30" Type="http://schemas.openxmlformats.org/officeDocument/2006/relationships/oleObject" Target="../embeddings/oleObject27.bin"/><Relationship Id="rId35" Type="http://schemas.openxmlformats.org/officeDocument/2006/relationships/oleObject" Target="../embeddings/oleObject32.bin"/><Relationship Id="rId43" Type="http://schemas.openxmlformats.org/officeDocument/2006/relationships/oleObject" Target="../embeddings/oleObject40.bin"/><Relationship Id="rId48" Type="http://schemas.openxmlformats.org/officeDocument/2006/relationships/oleObject" Target="../embeddings/oleObject45.bin"/><Relationship Id="rId8" Type="http://schemas.openxmlformats.org/officeDocument/2006/relationships/oleObject" Target="../embeddings/oleObject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62"/>
  <sheetViews>
    <sheetView topLeftCell="A31" workbookViewId="0">
      <selection activeCell="N15" sqref="N15"/>
    </sheetView>
  </sheetViews>
  <sheetFormatPr baseColWidth="10" defaultRowHeight="15.75"/>
  <cols>
    <col min="1" max="1" width="6.85546875" style="1" customWidth="1"/>
    <col min="2" max="2" width="11.42578125" style="1"/>
    <col min="3" max="3" width="12.42578125" style="1" customWidth="1"/>
    <col min="4" max="4" width="8.7109375" style="1" customWidth="1"/>
    <col min="5" max="5" width="10.5703125" style="1" customWidth="1"/>
    <col min="6" max="6" width="3" style="1" customWidth="1"/>
    <col min="7" max="7" width="21.7109375" style="1" customWidth="1"/>
    <col min="8" max="8" width="4.42578125" style="1" customWidth="1"/>
    <col min="9" max="9" width="1.7109375" style="1" customWidth="1"/>
    <col min="10" max="10" width="4.28515625" style="1" customWidth="1"/>
    <col min="11" max="11" width="12" style="1" customWidth="1"/>
    <col min="12" max="12" width="4" style="1" customWidth="1"/>
    <col min="13" max="13" width="6.28515625" style="1" customWidth="1"/>
    <col min="14" max="16384" width="11.42578125" style="1"/>
  </cols>
  <sheetData>
    <row r="1" spans="2:12" ht="3" customHeight="1"/>
    <row r="2" spans="2:12" ht="1.5" customHeight="1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2:12" ht="21" customHeight="1">
      <c r="B3" s="58" t="s">
        <v>19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2" ht="4.5" customHeight="1"/>
    <row r="5" spans="2:12" ht="6.75" customHeight="1"/>
    <row r="6" spans="2:12" ht="12.75" customHeight="1"/>
    <row r="7" spans="2:12">
      <c r="G7" s="1" t="s">
        <v>127</v>
      </c>
      <c r="K7" s="1">
        <v>300</v>
      </c>
      <c r="L7" s="1" t="s">
        <v>2</v>
      </c>
    </row>
    <row r="8" spans="2:12">
      <c r="G8" s="1" t="s">
        <v>128</v>
      </c>
      <c r="K8" s="1">
        <f>K19+K7</f>
        <v>330</v>
      </c>
      <c r="L8" s="1" t="s">
        <v>2</v>
      </c>
    </row>
    <row r="9" spans="2:12" ht="20.25">
      <c r="G9" s="1" t="s">
        <v>143</v>
      </c>
      <c r="K9" s="1">
        <f>K8+110</f>
        <v>440</v>
      </c>
      <c r="L9" s="1" t="s">
        <v>2</v>
      </c>
    </row>
    <row r="10" spans="2:12">
      <c r="G10" s="1" t="s">
        <v>130</v>
      </c>
    </row>
    <row r="11" spans="2:12">
      <c r="G11" s="1" t="s">
        <v>21</v>
      </c>
    </row>
    <row r="12" spans="2:12" ht="12" customHeight="1" thickBot="1"/>
    <row r="13" spans="2:12">
      <c r="G13" s="55" t="s">
        <v>18</v>
      </c>
      <c r="H13" s="56"/>
      <c r="I13" s="56"/>
      <c r="J13" s="56"/>
      <c r="K13" s="56"/>
      <c r="L13" s="57"/>
    </row>
    <row r="14" spans="2:12" ht="21.75" customHeight="1" thickBot="1">
      <c r="G14" s="12" t="s">
        <v>22</v>
      </c>
      <c r="H14" s="13"/>
      <c r="I14" s="13"/>
      <c r="J14" s="13"/>
      <c r="K14" s="16" t="s">
        <v>1</v>
      </c>
      <c r="L14" s="15"/>
    </row>
    <row r="15" spans="2:12" ht="20.100000000000001" customHeight="1">
      <c r="G15" s="9" t="s">
        <v>3</v>
      </c>
      <c r="H15" s="2">
        <f>H16/3</f>
        <v>55</v>
      </c>
      <c r="I15" s="2" t="s">
        <v>0</v>
      </c>
      <c r="J15" s="19">
        <f>J16/3</f>
        <v>73.333333333333329</v>
      </c>
      <c r="K15" s="5">
        <v>0</v>
      </c>
      <c r="L15" s="10" t="s">
        <v>2</v>
      </c>
    </row>
    <row r="16" spans="2:12" ht="20.100000000000001" customHeight="1">
      <c r="G16" s="11" t="s">
        <v>4</v>
      </c>
      <c r="H16" s="7">
        <f>K8/2</f>
        <v>165</v>
      </c>
      <c r="I16" s="7" t="s">
        <v>0</v>
      </c>
      <c r="J16" s="17">
        <f>2*K8/3</f>
        <v>220</v>
      </c>
      <c r="K16" s="6">
        <v>240</v>
      </c>
      <c r="L16" s="8" t="s">
        <v>2</v>
      </c>
    </row>
    <row r="17" spans="2:12" ht="20.100000000000001" customHeight="1">
      <c r="G17" s="11" t="s">
        <v>5</v>
      </c>
      <c r="H17" s="7">
        <f>K8/12</f>
        <v>27.5</v>
      </c>
      <c r="I17" s="7" t="s">
        <v>0</v>
      </c>
      <c r="J17" s="17">
        <f>K8/10</f>
        <v>33</v>
      </c>
      <c r="K17" s="6">
        <v>25</v>
      </c>
      <c r="L17" s="8" t="s">
        <v>2</v>
      </c>
    </row>
    <row r="18" spans="2:12" ht="20.100000000000001" customHeight="1">
      <c r="G18" s="11" t="s">
        <v>6</v>
      </c>
      <c r="H18" s="7"/>
      <c r="I18" s="7"/>
      <c r="J18" s="17">
        <f>K8/24</f>
        <v>13.75</v>
      </c>
      <c r="K18" s="6">
        <v>17</v>
      </c>
      <c r="L18" s="8" t="s">
        <v>2</v>
      </c>
    </row>
    <row r="19" spans="2:12" ht="20.100000000000001" customHeight="1" thickBot="1">
      <c r="G19" s="12" t="s">
        <v>7</v>
      </c>
      <c r="H19" s="13">
        <f>K8/12</f>
        <v>27.5</v>
      </c>
      <c r="I19" s="13" t="s">
        <v>0</v>
      </c>
      <c r="J19" s="18">
        <f>K8/10</f>
        <v>33</v>
      </c>
      <c r="K19" s="14">
        <v>30</v>
      </c>
      <c r="L19" s="15" t="s">
        <v>2</v>
      </c>
    </row>
    <row r="20" spans="2:12" ht="20.100000000000001" customHeight="1">
      <c r="G20" s="2"/>
      <c r="H20" s="2"/>
      <c r="I20" s="2"/>
      <c r="J20" s="2"/>
      <c r="K20" s="2"/>
      <c r="L20" s="2"/>
    </row>
    <row r="21" spans="2:12" ht="20.100000000000001" customHeight="1">
      <c r="G21" s="2"/>
      <c r="H21" s="2"/>
      <c r="I21" s="2"/>
      <c r="J21" s="2"/>
      <c r="K21" s="2"/>
      <c r="L21" s="2"/>
    </row>
    <row r="22" spans="2:12">
      <c r="B22" s="4" t="s">
        <v>8</v>
      </c>
    </row>
    <row r="23" spans="2:12" ht="9.9499999999999993" customHeight="1"/>
    <row r="24" spans="2:12">
      <c r="B24" s="1" t="s">
        <v>131</v>
      </c>
    </row>
    <row r="25" spans="2:12">
      <c r="B25" s="1" t="s">
        <v>23</v>
      </c>
    </row>
    <row r="27" spans="2:12" ht="20.25">
      <c r="B27" s="1" t="s">
        <v>14</v>
      </c>
      <c r="E27" s="3">
        <v>1.2</v>
      </c>
      <c r="F27" s="1" t="s">
        <v>15</v>
      </c>
    </row>
    <row r="28" spans="2:12" ht="18.75">
      <c r="B28" s="1" t="s">
        <v>13</v>
      </c>
      <c r="E28" s="1">
        <v>4.2</v>
      </c>
      <c r="F28" s="1" t="s">
        <v>16</v>
      </c>
    </row>
    <row r="29" spans="2:12">
      <c r="B29" s="1" t="s">
        <v>10</v>
      </c>
      <c r="E29" s="1" t="s">
        <v>35</v>
      </c>
    </row>
    <row r="30" spans="2:12">
      <c r="B30" s="1" t="s">
        <v>9</v>
      </c>
      <c r="E30" s="1" t="s">
        <v>36</v>
      </c>
    </row>
    <row r="31" spans="2:12" ht="18.75">
      <c r="B31" s="1" t="s">
        <v>34</v>
      </c>
      <c r="E31" s="20">
        <v>1.8</v>
      </c>
      <c r="F31" s="1" t="s">
        <v>20</v>
      </c>
    </row>
    <row r="32" spans="2:12">
      <c r="B32" s="1" t="s">
        <v>11</v>
      </c>
    </row>
    <row r="33" spans="2:2" ht="9.75" customHeight="1"/>
    <row r="34" spans="2:2">
      <c r="B34" s="1" t="s">
        <v>17</v>
      </c>
    </row>
    <row r="35" spans="2:2">
      <c r="B35" s="1" t="s">
        <v>12</v>
      </c>
    </row>
    <row r="37" spans="2:2">
      <c r="B37" s="4" t="s">
        <v>24</v>
      </c>
    </row>
    <row r="38" spans="2:2" ht="9.9499999999999993" customHeight="1"/>
    <row r="39" spans="2:2">
      <c r="B39" s="1" t="s">
        <v>25</v>
      </c>
    </row>
    <row r="40" spans="2:2">
      <c r="B40" s="1" t="s">
        <v>26</v>
      </c>
    </row>
    <row r="41" spans="2:2">
      <c r="B41" s="1" t="s">
        <v>27</v>
      </c>
    </row>
    <row r="42" spans="2:2">
      <c r="B42" s="1" t="s">
        <v>28</v>
      </c>
    </row>
    <row r="43" spans="2:2">
      <c r="B43" s="1" t="s">
        <v>29</v>
      </c>
    </row>
    <row r="44" spans="2:2">
      <c r="B44" s="1" t="s">
        <v>30</v>
      </c>
    </row>
    <row r="45" spans="2:2">
      <c r="B45" s="1" t="s">
        <v>31</v>
      </c>
    </row>
    <row r="46" spans="2:2">
      <c r="B46" s="1" t="s">
        <v>32</v>
      </c>
    </row>
    <row r="59" spans="2:2">
      <c r="B59" s="4"/>
    </row>
    <row r="62" spans="2:2">
      <c r="B62"/>
    </row>
  </sheetData>
  <mergeCells count="3">
    <mergeCell ref="G13:L13"/>
    <mergeCell ref="B3:L3"/>
    <mergeCell ref="B2:L2"/>
  </mergeCells>
  <pageMargins left="6.4960630000000005E-2" right="0" top="1.8543307090000001" bottom="0" header="0.31496062992126" footer="0.31496062992126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N307"/>
  <sheetViews>
    <sheetView tabSelected="1" zoomScaleNormal="100" workbookViewId="0">
      <selection activeCell="P8" sqref="P8"/>
    </sheetView>
  </sheetViews>
  <sheetFormatPr baseColWidth="10" defaultRowHeight="15"/>
  <cols>
    <col min="1" max="2" width="8.85546875" customWidth="1"/>
    <col min="3" max="3" width="8" customWidth="1"/>
    <col min="4" max="4" width="9.42578125" customWidth="1"/>
    <col min="5" max="5" width="7.7109375" customWidth="1"/>
    <col min="6" max="7" width="13.28515625" customWidth="1"/>
    <col min="8" max="8" width="10.5703125" customWidth="1"/>
    <col min="9" max="9" width="4.42578125" customWidth="1"/>
    <col min="10" max="10" width="8.85546875" customWidth="1"/>
    <col min="11" max="11" width="3" customWidth="1"/>
    <col min="12" max="12" width="2.85546875" customWidth="1"/>
    <col min="13" max="13" width="0.7109375" customWidth="1"/>
  </cols>
  <sheetData>
    <row r="1" spans="2:11" ht="0.75" customHeight="1"/>
    <row r="2" spans="2:11" ht="5.25" customHeight="1"/>
    <row r="3" spans="2:11" ht="15.75">
      <c r="B3" s="4" t="s">
        <v>125</v>
      </c>
    </row>
    <row r="5" spans="2:11" ht="15.75">
      <c r="B5" s="4" t="s">
        <v>66</v>
      </c>
      <c r="C5" s="1"/>
      <c r="D5" s="1"/>
      <c r="E5" s="1"/>
      <c r="F5" s="1"/>
      <c r="G5" s="1"/>
      <c r="H5" s="1"/>
    </row>
    <row r="6" spans="2:11" ht="15.75">
      <c r="B6" s="1"/>
      <c r="C6" s="1"/>
      <c r="D6" s="1"/>
      <c r="E6" s="1"/>
      <c r="F6" s="1"/>
      <c r="G6" s="1"/>
      <c r="H6" s="1"/>
    </row>
    <row r="7" spans="2:11" ht="15.75">
      <c r="B7" s="1"/>
      <c r="D7" s="24" t="s">
        <v>33</v>
      </c>
      <c r="G7" s="1" t="s">
        <v>44</v>
      </c>
      <c r="H7" s="1"/>
    </row>
    <row r="8" spans="2:11" ht="15.75">
      <c r="B8" s="1"/>
      <c r="C8" s="1"/>
      <c r="D8" s="24"/>
      <c r="E8" s="1" t="s">
        <v>40</v>
      </c>
      <c r="F8" s="1"/>
      <c r="G8" s="1"/>
      <c r="H8" s="1"/>
      <c r="I8" s="22">
        <f>'01-Datos y Cargas'!K8</f>
        <v>330</v>
      </c>
      <c r="J8" t="s">
        <v>2</v>
      </c>
    </row>
    <row r="9" spans="2:11" ht="15.75">
      <c r="B9" s="1"/>
      <c r="C9" s="1"/>
      <c r="D9" s="25"/>
      <c r="G9" s="27">
        <f>POWER(TAN((45-J11/2)*3.141592654/180),2)</f>
        <v>0.33333333343859245</v>
      </c>
    </row>
    <row r="10" spans="2:11">
      <c r="D10" s="26"/>
      <c r="E10" t="s">
        <v>41</v>
      </c>
      <c r="J10" s="21">
        <v>0</v>
      </c>
      <c r="K10" s="21"/>
    </row>
    <row r="11" spans="2:11">
      <c r="D11" s="25"/>
      <c r="E11" t="s">
        <v>42</v>
      </c>
      <c r="J11" s="21">
        <v>30</v>
      </c>
      <c r="K11" s="21"/>
    </row>
    <row r="12" spans="2:11" ht="17.25">
      <c r="B12" t="s">
        <v>38</v>
      </c>
      <c r="D12" s="25"/>
      <c r="E12" t="s">
        <v>43</v>
      </c>
      <c r="F12">
        <f>'01-Datos y Cargas'!E31*1000</f>
        <v>1800</v>
      </c>
      <c r="G12" t="s">
        <v>39</v>
      </c>
      <c r="K12" s="21"/>
    </row>
    <row r="14" spans="2:11">
      <c r="D14" s="23">
        <f>0.5*G9*F12*I8*I8/10000</f>
        <v>3267.0000010316444</v>
      </c>
      <c r="E14" t="s">
        <v>37</v>
      </c>
    </row>
    <row r="16" spans="2:11" ht="6" customHeight="1"/>
    <row r="17" spans="2:4" ht="15.75">
      <c r="B17" s="4" t="s">
        <v>67</v>
      </c>
    </row>
    <row r="18" spans="2:4" ht="15.75">
      <c r="B18" s="4"/>
    </row>
    <row r="19" spans="2:4" ht="15.75">
      <c r="B19" s="34" t="s">
        <v>65</v>
      </c>
    </row>
    <row r="20" spans="2:4" ht="15.75">
      <c r="B20" s="1" t="s">
        <v>56</v>
      </c>
      <c r="C20">
        <f>'01-Datos y Cargas'!K15/100</f>
        <v>0</v>
      </c>
      <c r="D20" t="s">
        <v>64</v>
      </c>
    </row>
    <row r="21" spans="2:4" ht="15.75">
      <c r="B21" s="1" t="s">
        <v>58</v>
      </c>
      <c r="C21">
        <f>'01-Datos y Cargas'!K17/100</f>
        <v>0.25</v>
      </c>
      <c r="D21" t="s">
        <v>64</v>
      </c>
    </row>
    <row r="22" spans="2:4" ht="15.75">
      <c r="B22" s="1" t="s">
        <v>57</v>
      </c>
      <c r="C22" s="23">
        <f>'01-Datos y Cargas'!K16/100</f>
        <v>2.4</v>
      </c>
      <c r="D22" t="s">
        <v>64</v>
      </c>
    </row>
    <row r="23" spans="2:4" ht="15.75">
      <c r="B23" s="1" t="s">
        <v>63</v>
      </c>
      <c r="C23" s="23">
        <f>C22-C20-C21</f>
        <v>2.15</v>
      </c>
      <c r="D23" t="s">
        <v>64</v>
      </c>
    </row>
    <row r="24" spans="2:4" ht="15.75">
      <c r="B24" s="1" t="s">
        <v>59</v>
      </c>
      <c r="C24" s="23">
        <v>0.3</v>
      </c>
      <c r="D24" t="s">
        <v>64</v>
      </c>
    </row>
    <row r="25" spans="2:4" ht="15.75">
      <c r="B25" s="1" t="s">
        <v>60</v>
      </c>
      <c r="C25">
        <f>'01-Datos y Cargas'!K8/100</f>
        <v>3.3</v>
      </c>
      <c r="D25" t="s">
        <v>64</v>
      </c>
    </row>
    <row r="26" spans="2:4" ht="18.75">
      <c r="B26" s="1" t="s">
        <v>78</v>
      </c>
      <c r="C26">
        <f>'01-Datos y Cargas'!K9/100</f>
        <v>4.4000000000000004</v>
      </c>
      <c r="D26" t="s">
        <v>64</v>
      </c>
    </row>
    <row r="27" spans="2:4" ht="15.75">
      <c r="B27" s="1"/>
    </row>
    <row r="28" spans="2:4" ht="18.75">
      <c r="B28" s="1" t="s">
        <v>71</v>
      </c>
      <c r="C28">
        <f>C20+C21+C23/2</f>
        <v>1.325</v>
      </c>
      <c r="D28" t="s">
        <v>64</v>
      </c>
    </row>
    <row r="29" spans="2:4" ht="18.75">
      <c r="B29" s="1" t="s">
        <v>73</v>
      </c>
      <c r="C29">
        <f>C20+C21/2</f>
        <v>0.125</v>
      </c>
      <c r="D29" t="s">
        <v>64</v>
      </c>
    </row>
    <row r="30" spans="2:4" ht="18.75">
      <c r="B30" s="1" t="s">
        <v>72</v>
      </c>
      <c r="C30">
        <f>C22/2</f>
        <v>1.2</v>
      </c>
      <c r="D30" t="s">
        <v>64</v>
      </c>
    </row>
    <row r="32" spans="2:4" ht="18.75">
      <c r="B32" s="1" t="s">
        <v>62</v>
      </c>
      <c r="C32">
        <f>F12</f>
        <v>1800</v>
      </c>
      <c r="D32" t="s">
        <v>39</v>
      </c>
    </row>
    <row r="33" spans="2:14" ht="18.75">
      <c r="B33" s="1" t="s">
        <v>61</v>
      </c>
      <c r="C33">
        <v>2400</v>
      </c>
      <c r="D33" t="s">
        <v>39</v>
      </c>
    </row>
    <row r="34" spans="2:14" ht="9.75" customHeight="1"/>
    <row r="35" spans="2:14" ht="15.75">
      <c r="B35" s="1" t="s">
        <v>76</v>
      </c>
    </row>
    <row r="36" spans="2:14" ht="15.75">
      <c r="B36" s="1" t="s">
        <v>75</v>
      </c>
    </row>
    <row r="37" spans="2:14" ht="9" customHeight="1">
      <c r="B37" s="1"/>
    </row>
    <row r="38" spans="2:14">
      <c r="B38" s="28" t="s">
        <v>45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39" spans="2:14" ht="10.5" customHeight="1"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</row>
    <row r="40" spans="2:14">
      <c r="B40" s="29" t="s">
        <v>51</v>
      </c>
      <c r="C40" s="29" t="s">
        <v>46</v>
      </c>
      <c r="D40" s="60" t="s">
        <v>47</v>
      </c>
      <c r="E40" s="60"/>
      <c r="F40" s="60" t="s">
        <v>48</v>
      </c>
      <c r="G40" s="60"/>
      <c r="H40" s="60" t="s">
        <v>49</v>
      </c>
      <c r="I40" s="60"/>
      <c r="J40" s="28"/>
      <c r="K40" s="28"/>
      <c r="L40" s="28"/>
      <c r="M40" s="28"/>
      <c r="N40" s="28"/>
    </row>
    <row r="41" spans="2:14" ht="18">
      <c r="B41" s="31" t="s">
        <v>50</v>
      </c>
      <c r="C41" s="31" t="s">
        <v>54</v>
      </c>
      <c r="D41" s="62" t="s">
        <v>70</v>
      </c>
      <c r="E41" s="62"/>
      <c r="F41" s="62" t="s">
        <v>74</v>
      </c>
      <c r="G41" s="62"/>
      <c r="H41" s="60" t="s">
        <v>55</v>
      </c>
      <c r="I41" s="60"/>
      <c r="J41" s="28"/>
      <c r="K41" s="28"/>
      <c r="L41" s="28"/>
      <c r="M41" s="28"/>
      <c r="N41" s="28"/>
    </row>
    <row r="42" spans="2:14">
      <c r="B42" s="32">
        <v>1</v>
      </c>
      <c r="C42" s="32">
        <f>C23*(C25-C24)</f>
        <v>6.4499999999999993</v>
      </c>
      <c r="D42" s="63">
        <f>C42*C32</f>
        <v>11609.999999999998</v>
      </c>
      <c r="E42" s="63"/>
      <c r="F42" s="63">
        <f>C28</f>
        <v>1.325</v>
      </c>
      <c r="G42" s="63"/>
      <c r="H42" s="66">
        <f>D42*F42</f>
        <v>15383.249999999996</v>
      </c>
      <c r="I42" s="66"/>
      <c r="J42" s="28"/>
      <c r="K42" s="28"/>
      <c r="L42" s="28"/>
      <c r="M42" s="28"/>
      <c r="N42" s="28"/>
    </row>
    <row r="43" spans="2:14">
      <c r="B43" s="32">
        <v>2</v>
      </c>
      <c r="C43" s="32">
        <f>C21*(C26-C24)</f>
        <v>1.0250000000000001</v>
      </c>
      <c r="D43" s="61">
        <f>C43*C33</f>
        <v>2460.0000000000005</v>
      </c>
      <c r="E43" s="61"/>
      <c r="F43" s="60">
        <f>C29</f>
        <v>0.125</v>
      </c>
      <c r="G43" s="60"/>
      <c r="H43" s="67">
        <f>D43*F43</f>
        <v>307.50000000000006</v>
      </c>
      <c r="I43" s="67"/>
      <c r="J43" s="28"/>
      <c r="K43" s="28"/>
      <c r="L43" s="28"/>
      <c r="M43" s="28"/>
      <c r="N43" s="28"/>
    </row>
    <row r="44" spans="2:14">
      <c r="B44" s="31">
        <v>3</v>
      </c>
      <c r="C44" s="38">
        <f>C22*C24</f>
        <v>0.72</v>
      </c>
      <c r="D44" s="62">
        <f>C44*C33</f>
        <v>1728</v>
      </c>
      <c r="E44" s="62"/>
      <c r="F44" s="62">
        <f>C30</f>
        <v>1.2</v>
      </c>
      <c r="G44" s="62"/>
      <c r="H44" s="62">
        <f>D44*F44</f>
        <v>2073.6</v>
      </c>
      <c r="I44" s="62"/>
      <c r="J44" s="28"/>
      <c r="K44" s="28"/>
      <c r="L44" s="28"/>
      <c r="M44" s="28"/>
      <c r="N44" s="28"/>
    </row>
    <row r="45" spans="2:14">
      <c r="B45" s="32"/>
      <c r="C45" s="28"/>
      <c r="D45" s="28"/>
      <c r="E45" s="35">
        <f>D42+D43+D44</f>
        <v>15797.999999999998</v>
      </c>
      <c r="F45" s="28" t="s">
        <v>37</v>
      </c>
      <c r="H45" s="39">
        <f>SUM(H42:H44)</f>
        <v>17764.349999999995</v>
      </c>
      <c r="I45" s="28" t="s">
        <v>79</v>
      </c>
      <c r="J45" s="28"/>
      <c r="K45" s="28"/>
      <c r="L45" s="28"/>
      <c r="M45" s="28"/>
      <c r="N45" s="28"/>
    </row>
    <row r="46" spans="2:14" ht="4.5" customHeight="1">
      <c r="B46" s="32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</row>
    <row r="47" spans="2:14" ht="3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</row>
    <row r="48" spans="2:14" ht="15.75">
      <c r="B48" s="4" t="s">
        <v>52</v>
      </c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</row>
    <row r="49" spans="2:14" ht="11.25" customHeight="1">
      <c r="B49" s="4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</row>
    <row r="50" spans="2:14" ht="15.75">
      <c r="B50" s="4"/>
      <c r="C50" s="28"/>
      <c r="E50" s="28"/>
      <c r="F50" s="28"/>
      <c r="G50" s="28"/>
      <c r="H50" s="28"/>
      <c r="I50" s="28"/>
      <c r="J50" s="28"/>
      <c r="K50" s="28"/>
      <c r="L50" s="28"/>
      <c r="M50" s="28"/>
      <c r="N50" s="28"/>
    </row>
    <row r="51" spans="2:14" ht="6.75" customHeight="1">
      <c r="B51" s="4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</row>
    <row r="52" spans="2:14" ht="15.75">
      <c r="B52" s="1" t="s">
        <v>77</v>
      </c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</row>
    <row r="53" spans="2:14"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</row>
    <row r="54" spans="2:14">
      <c r="B54" s="28"/>
      <c r="C54" s="28"/>
      <c r="E54" s="28">
        <f>D14*C25/3</f>
        <v>3593.7000011348086</v>
      </c>
      <c r="F54" s="28" t="s">
        <v>79</v>
      </c>
      <c r="G54" s="28"/>
      <c r="H54" s="28"/>
      <c r="I54" s="28"/>
      <c r="J54" s="28"/>
      <c r="K54" s="28"/>
      <c r="L54" s="28"/>
      <c r="M54" s="28"/>
      <c r="N54" s="28"/>
    </row>
    <row r="55" spans="2:14"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</row>
    <row r="56" spans="2:14">
      <c r="B56" s="28" t="s">
        <v>38</v>
      </c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</row>
    <row r="57" spans="2:14">
      <c r="B57" s="28"/>
      <c r="D57" s="28"/>
      <c r="E57" s="28">
        <f>H45/E54</f>
        <v>4.9431922515486599</v>
      </c>
      <c r="G57" s="28"/>
      <c r="H57" s="28"/>
      <c r="I57" s="28"/>
      <c r="J57" s="28"/>
      <c r="K57" s="28"/>
      <c r="L57" s="28"/>
      <c r="M57" s="28"/>
      <c r="N57" s="28"/>
    </row>
    <row r="58" spans="2:14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</row>
    <row r="59" spans="2:14" ht="7.5" customHeight="1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</row>
    <row r="60" spans="2:14" ht="15.75">
      <c r="B60" s="4" t="s">
        <v>68</v>
      </c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</row>
    <row r="61" spans="2:14" ht="9" customHeight="1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</row>
    <row r="62" spans="2:14">
      <c r="B62" s="28" t="s">
        <v>81</v>
      </c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</row>
    <row r="63" spans="2:14">
      <c r="B63" t="s">
        <v>82</v>
      </c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</row>
    <row r="64" spans="2:14"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</row>
    <row r="65" spans="2:14">
      <c r="B65" s="28"/>
      <c r="C65" s="28"/>
      <c r="D65" s="28"/>
      <c r="E65" s="28"/>
      <c r="F65" s="36">
        <f>(H45-E54)/E45</f>
        <v>0.89699012526048794</v>
      </c>
      <c r="G65" t="s">
        <v>64</v>
      </c>
      <c r="H65" s="28"/>
      <c r="I65" s="28"/>
      <c r="J65" s="28"/>
      <c r="K65" s="28"/>
      <c r="L65" s="28"/>
      <c r="M65" s="28"/>
      <c r="N65" s="28"/>
    </row>
    <row r="66" spans="2:14"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</row>
    <row r="67" spans="2:14"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</row>
    <row r="68" spans="2:14">
      <c r="B68" s="28"/>
      <c r="C68" s="28"/>
      <c r="E68" s="28"/>
      <c r="F68" s="36">
        <f>C22/2-F65</f>
        <v>0.30300987473951202</v>
      </c>
      <c r="G68" s="28" t="s">
        <v>64</v>
      </c>
      <c r="H68" s="28">
        <f>C22/2</f>
        <v>1.2</v>
      </c>
      <c r="I68" s="28" t="s">
        <v>64</v>
      </c>
      <c r="J68" s="28"/>
      <c r="K68" s="28"/>
      <c r="L68" s="28"/>
      <c r="M68" s="28"/>
      <c r="N68" s="28"/>
    </row>
    <row r="69" spans="2:14"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</row>
    <row r="70" spans="2:14">
      <c r="B70" s="28" t="s">
        <v>83</v>
      </c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</row>
    <row r="71" spans="2:14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</row>
    <row r="72" spans="2:14">
      <c r="B72" s="28" t="s">
        <v>84</v>
      </c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</row>
    <row r="73" spans="2:14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</row>
    <row r="74" spans="2:14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</row>
    <row r="75" spans="2:14" ht="18">
      <c r="C75" s="28"/>
      <c r="D75" s="28"/>
      <c r="E75" s="28">
        <f>E45/(C22*100*100)*(1+6*F68/C22)</f>
        <v>1.1568906251182094</v>
      </c>
      <c r="F75" s="28" t="s">
        <v>85</v>
      </c>
      <c r="H75" s="28"/>
      <c r="I75" s="28"/>
      <c r="J75" s="28"/>
      <c r="K75" s="28"/>
      <c r="L75" s="28"/>
      <c r="M75" s="28"/>
      <c r="N75" s="28"/>
    </row>
    <row r="76" spans="2:14">
      <c r="B76" s="28"/>
      <c r="C76" s="28"/>
      <c r="D76" s="28"/>
      <c r="E76" s="28"/>
      <c r="F76" s="28"/>
      <c r="G76" s="28" t="s">
        <v>80</v>
      </c>
      <c r="H76" s="28"/>
      <c r="I76" s="28"/>
      <c r="J76" s="28"/>
      <c r="K76" s="28"/>
      <c r="L76" s="28"/>
      <c r="M76" s="28"/>
      <c r="N76" s="28"/>
    </row>
    <row r="77" spans="2:14"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</row>
    <row r="78" spans="2:14" ht="18">
      <c r="C78" s="28"/>
      <c r="D78" s="28"/>
      <c r="E78" s="28">
        <f>E45/(C22*100*100)*(1-6*F68/C22)</f>
        <v>0.1596093748817905</v>
      </c>
      <c r="F78" s="28" t="s">
        <v>85</v>
      </c>
      <c r="G78" s="28"/>
      <c r="H78" s="28"/>
      <c r="I78" s="28"/>
      <c r="J78" s="28"/>
      <c r="K78" s="28"/>
      <c r="L78" s="28"/>
      <c r="M78" s="28"/>
      <c r="N78" s="28"/>
    </row>
    <row r="79" spans="2:14"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</row>
    <row r="80" spans="2:14" ht="8.25" customHeight="1"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</row>
    <row r="81" spans="2:14" ht="15.75">
      <c r="B81" s="4" t="s">
        <v>53</v>
      </c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</row>
    <row r="82" spans="2:14" ht="9" customHeight="1">
      <c r="B82" s="4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</row>
    <row r="83" spans="2:14" ht="15.75">
      <c r="B83" s="1" t="s">
        <v>126</v>
      </c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</row>
    <row r="84" spans="2:14" ht="15.75">
      <c r="B84" s="1" t="s">
        <v>86</v>
      </c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</row>
    <row r="85" spans="2:14" ht="6" customHeight="1">
      <c r="B85" s="1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</row>
    <row r="86" spans="2:14" ht="15.75">
      <c r="B86" s="4"/>
      <c r="C86" s="28"/>
      <c r="F86" s="28" t="s">
        <v>89</v>
      </c>
      <c r="G86" s="28"/>
      <c r="H86" s="28"/>
      <c r="I86" s="28"/>
      <c r="J86" s="28"/>
      <c r="K86" s="28"/>
      <c r="L86" s="28"/>
      <c r="M86" s="28"/>
      <c r="N86" s="28"/>
    </row>
    <row r="87" spans="2:14" ht="16.5">
      <c r="C87" s="28"/>
      <c r="F87" s="28" t="s">
        <v>88</v>
      </c>
      <c r="G87" s="28"/>
      <c r="H87" s="28"/>
      <c r="I87" s="28"/>
      <c r="J87" s="28"/>
      <c r="K87" s="28"/>
      <c r="L87" s="28"/>
      <c r="M87" s="28"/>
      <c r="N87" s="28"/>
    </row>
    <row r="88" spans="2:14" ht="15.75">
      <c r="B88" s="4"/>
      <c r="C88" s="28"/>
      <c r="F88" s="28" t="s">
        <v>87</v>
      </c>
      <c r="G88" s="28"/>
      <c r="H88" s="28"/>
      <c r="I88" s="28"/>
      <c r="J88" s="28"/>
      <c r="K88" s="28"/>
      <c r="L88" s="28"/>
      <c r="M88" s="28"/>
      <c r="N88" s="28"/>
    </row>
    <row r="89" spans="2:14" ht="15.75">
      <c r="B89" s="4"/>
      <c r="C89" s="28"/>
      <c r="F89" s="28" t="s">
        <v>91</v>
      </c>
      <c r="G89" s="28"/>
      <c r="H89" s="28"/>
      <c r="I89" s="28"/>
      <c r="J89" s="28"/>
      <c r="K89" s="28"/>
      <c r="L89" s="28"/>
      <c r="M89" s="28"/>
      <c r="N89" s="28"/>
    </row>
    <row r="90" spans="2:14" ht="16.5">
      <c r="B90" s="4"/>
      <c r="C90" s="28"/>
      <c r="F90" s="28" t="s">
        <v>93</v>
      </c>
      <c r="G90" s="28"/>
      <c r="I90" s="28"/>
      <c r="J90" s="28"/>
      <c r="K90" s="28"/>
      <c r="L90" s="28"/>
      <c r="M90" s="28"/>
      <c r="N90" s="28"/>
    </row>
    <row r="91" spans="2:14" ht="16.5">
      <c r="B91" s="4"/>
      <c r="C91" s="28"/>
      <c r="E91" s="28"/>
      <c r="F91" s="28" t="s">
        <v>92</v>
      </c>
      <c r="G91" s="28"/>
      <c r="H91" s="28"/>
      <c r="I91" s="28"/>
      <c r="J91" s="28"/>
      <c r="K91" s="28"/>
      <c r="L91" s="28"/>
      <c r="M91" s="28"/>
      <c r="N91" s="28"/>
    </row>
    <row r="92" spans="2:14" ht="6.75" customHeight="1">
      <c r="B92" s="4"/>
      <c r="C92" s="28"/>
      <c r="E92" s="28"/>
      <c r="F92" s="28"/>
      <c r="G92" s="28"/>
      <c r="H92" s="28"/>
      <c r="I92" s="28"/>
      <c r="J92" s="28"/>
      <c r="K92" s="28"/>
      <c r="L92" s="28"/>
      <c r="M92" s="28"/>
      <c r="N92" s="28"/>
    </row>
    <row r="93" spans="2:14">
      <c r="B93">
        <v>0.55000000000000004</v>
      </c>
      <c r="C93" s="42">
        <f>E45</f>
        <v>15797.999999999998</v>
      </c>
      <c r="D93">
        <f>B93*C93/C94</f>
        <v>2.6595959587561193</v>
      </c>
      <c r="E93" s="28"/>
      <c r="F93" s="28"/>
      <c r="G93" s="28"/>
      <c r="H93" s="28"/>
      <c r="I93" s="28"/>
      <c r="J93" s="28"/>
      <c r="K93" s="28"/>
      <c r="L93" s="28"/>
      <c r="M93" s="28"/>
      <c r="N93" s="28"/>
    </row>
    <row r="94" spans="2:14">
      <c r="B94" s="28"/>
      <c r="C94" s="41">
        <f>D14</f>
        <v>3267.0000010316444</v>
      </c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</row>
    <row r="95" spans="2:14" ht="3.75" customHeight="1">
      <c r="B95" s="28"/>
      <c r="C95" s="41"/>
      <c r="E95" s="28"/>
      <c r="F95" s="28"/>
      <c r="G95" s="28"/>
      <c r="H95" s="28"/>
      <c r="I95" s="28"/>
      <c r="J95" s="28"/>
      <c r="K95" s="28"/>
      <c r="L95" s="28"/>
      <c r="M95" s="28"/>
      <c r="N95" s="28"/>
    </row>
    <row r="96" spans="2:14" ht="2.25" customHeight="1"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</row>
    <row r="97" spans="2:14" ht="15.75">
      <c r="B97" s="4" t="s">
        <v>100</v>
      </c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</row>
    <row r="98" spans="2:14" ht="4.5" customHeight="1"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2:14" ht="20.25" customHeight="1">
      <c r="B99" s="28" t="s">
        <v>94</v>
      </c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  <row r="100" spans="2:14"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</row>
    <row r="101" spans="2:14"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</row>
    <row r="102" spans="2:14"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</row>
    <row r="103" spans="2:14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</row>
    <row r="104" spans="2:14"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</row>
    <row r="105" spans="2:14"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</row>
    <row r="106" spans="2:14"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</row>
    <row r="107" spans="2:14"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</row>
    <row r="108" spans="2:14"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</row>
    <row r="109" spans="2:14"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</row>
    <row r="110" spans="2:14"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</row>
    <row r="111" spans="2:14">
      <c r="B111" s="28"/>
      <c r="C111" s="28"/>
      <c r="D111" s="28"/>
      <c r="E111" s="28"/>
      <c r="F111" s="28"/>
      <c r="G111" s="28"/>
      <c r="I111" s="54" t="s">
        <v>134</v>
      </c>
      <c r="J111" s="36">
        <v>0.5</v>
      </c>
      <c r="K111" s="28" t="s">
        <v>64</v>
      </c>
      <c r="L111" s="28"/>
      <c r="M111" s="28"/>
      <c r="N111" s="28"/>
    </row>
    <row r="112" spans="2:14">
      <c r="B112" s="28"/>
      <c r="C112" s="28"/>
      <c r="D112" s="28"/>
      <c r="E112" s="28"/>
      <c r="F112" s="28"/>
      <c r="G112" s="28"/>
      <c r="I112" s="54" t="s">
        <v>135</v>
      </c>
      <c r="J112" s="28" t="s">
        <v>136</v>
      </c>
      <c r="K112" s="68">
        <f>J111+C21</f>
        <v>0.75</v>
      </c>
      <c r="L112" s="68"/>
      <c r="M112" s="28"/>
      <c r="N112" s="28"/>
    </row>
    <row r="113" spans="2:14"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</row>
    <row r="114" spans="2:14"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</row>
    <row r="115" spans="2:14"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</row>
    <row r="116" spans="2:14"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</row>
    <row r="117" spans="2:14"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</row>
    <row r="118" spans="2:14" ht="29.25" customHeight="1">
      <c r="B118" s="45">
        <f>E75</f>
        <v>1.1568906251182094</v>
      </c>
      <c r="C118" s="45">
        <f>E78+(E75-E78)*(C22-C20)/C22</f>
        <v>1.1568906251182094</v>
      </c>
      <c r="D118" s="45">
        <f>E78+(E75-E78)*(C22-C20-C21)/C22</f>
        <v>1.0530071615519159</v>
      </c>
      <c r="E118" s="33"/>
      <c r="F118" s="45">
        <f>E78</f>
        <v>0.1596093748817905</v>
      </c>
      <c r="G118" s="28" t="s">
        <v>101</v>
      </c>
      <c r="H118" s="28"/>
      <c r="I118" s="28"/>
      <c r="J118" s="28"/>
      <c r="K118" s="28"/>
      <c r="L118" s="28"/>
      <c r="M118" s="28"/>
      <c r="N118" s="28"/>
    </row>
    <row r="119" spans="2:14" ht="30" customHeight="1">
      <c r="B119" s="44" t="s">
        <v>96</v>
      </c>
      <c r="C119" s="44" t="s">
        <v>98</v>
      </c>
      <c r="D119" s="44" t="s">
        <v>99</v>
      </c>
      <c r="E119" s="28"/>
      <c r="F119" s="44" t="s">
        <v>97</v>
      </c>
      <c r="G119" s="65" t="s">
        <v>102</v>
      </c>
      <c r="H119" s="65"/>
      <c r="I119" s="65"/>
      <c r="J119" s="65"/>
      <c r="K119" s="65"/>
      <c r="L119" s="65"/>
      <c r="M119" s="28"/>
      <c r="N119" s="28"/>
    </row>
    <row r="120" spans="2:14" ht="18">
      <c r="B120" s="61" t="s">
        <v>103</v>
      </c>
      <c r="C120" s="61"/>
      <c r="D120" s="61"/>
      <c r="E120" s="61"/>
      <c r="F120" s="61"/>
      <c r="G120" s="28"/>
      <c r="H120" s="52" t="s">
        <v>129</v>
      </c>
      <c r="I120" s="36">
        <f>C25-C24</f>
        <v>3</v>
      </c>
      <c r="J120" s="28" t="s">
        <v>64</v>
      </c>
      <c r="K120" s="28"/>
      <c r="L120" s="28"/>
      <c r="M120" s="28"/>
      <c r="N120" s="28"/>
    </row>
    <row r="121" spans="2:14" ht="6" customHeight="1"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</row>
    <row r="122" spans="2:14"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</row>
    <row r="123" spans="2:14">
      <c r="C123" s="28"/>
      <c r="D123" s="28">
        <f>0.5*G9*C32*(C25-C24)*(C25-C24)</f>
        <v>2700.0000008525985</v>
      </c>
      <c r="E123" s="28" t="s">
        <v>37</v>
      </c>
      <c r="F123" s="28"/>
      <c r="G123" s="28"/>
      <c r="H123" s="28"/>
      <c r="I123" s="28"/>
      <c r="J123" s="28"/>
      <c r="K123" s="28"/>
      <c r="L123" s="28"/>
      <c r="M123" s="28"/>
      <c r="N123" s="28"/>
    </row>
    <row r="124" spans="2:14"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</row>
    <row r="125" spans="2:14">
      <c r="C125" s="28"/>
      <c r="D125" s="53">
        <f>D123*(C25-C24)/3</f>
        <v>2700.0000008525985</v>
      </c>
      <c r="E125" s="28" t="s">
        <v>79</v>
      </c>
      <c r="F125" s="32" t="s">
        <v>95</v>
      </c>
      <c r="G125" s="53">
        <f>D125/100</f>
        <v>27.000000008525987</v>
      </c>
      <c r="H125" s="28" t="s">
        <v>104</v>
      </c>
      <c r="I125" s="28"/>
      <c r="J125" s="28"/>
      <c r="K125" s="28"/>
      <c r="L125" s="28"/>
      <c r="M125" s="28"/>
      <c r="N125" s="28"/>
    </row>
    <row r="126" spans="2:14"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</row>
    <row r="127" spans="2:14">
      <c r="C127" s="28"/>
      <c r="D127" s="53">
        <f>1.6*G125</f>
        <v>43.200000013641585</v>
      </c>
      <c r="E127" s="28" t="s">
        <v>104</v>
      </c>
      <c r="F127" s="28"/>
      <c r="H127" s="28"/>
      <c r="I127" s="28"/>
      <c r="J127" s="28"/>
      <c r="K127" s="28"/>
      <c r="L127" s="28"/>
      <c r="M127" s="28"/>
      <c r="N127" s="28"/>
    </row>
    <row r="128" spans="2:14"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</row>
    <row r="129" spans="2:14">
      <c r="C129" s="28"/>
      <c r="D129" s="53">
        <f>D127/0.9</f>
        <v>48.000000015157312</v>
      </c>
      <c r="E129" s="28" t="s">
        <v>104</v>
      </c>
      <c r="F129" s="28"/>
      <c r="G129" s="28"/>
      <c r="H129" s="28"/>
      <c r="I129" s="28"/>
      <c r="J129" s="28"/>
      <c r="K129" s="28"/>
      <c r="L129" s="28"/>
      <c r="M129" s="28"/>
      <c r="N129" s="28"/>
    </row>
    <row r="130" spans="2:14"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</row>
    <row r="131" spans="2:14" ht="16.5">
      <c r="C131" s="28"/>
      <c r="D131" s="28"/>
      <c r="E131" s="28"/>
      <c r="F131" s="28">
        <v>0.19800000000000001</v>
      </c>
      <c r="G131" s="28" t="s">
        <v>132</v>
      </c>
      <c r="H131" s="28"/>
      <c r="I131" s="28"/>
      <c r="J131" s="28"/>
      <c r="L131" s="28"/>
      <c r="M131" s="28"/>
      <c r="N131" s="28"/>
    </row>
    <row r="132" spans="2:14" ht="16.5">
      <c r="B132" s="28"/>
      <c r="C132" s="28"/>
      <c r="D132" s="28"/>
      <c r="E132" s="28"/>
      <c r="F132" s="28"/>
      <c r="G132" s="28" t="s">
        <v>139</v>
      </c>
      <c r="J132" s="28"/>
      <c r="K132" s="28"/>
      <c r="L132" s="28"/>
      <c r="M132" s="28"/>
    </row>
    <row r="133" spans="2:14" ht="18.75">
      <c r="C133" s="28"/>
      <c r="D133" s="46">
        <f>D129/(0.85*20000*1*F131*F131)</f>
        <v>7.2021462418536686E-2</v>
      </c>
      <c r="E133" s="30" t="s">
        <v>33</v>
      </c>
      <c r="F133" s="50" t="s">
        <v>105</v>
      </c>
      <c r="I133" s="28"/>
      <c r="J133" s="28"/>
      <c r="K133" s="28"/>
      <c r="L133" s="28"/>
      <c r="M133" s="28"/>
      <c r="N133" s="28"/>
    </row>
    <row r="134" spans="2:14">
      <c r="B134" s="28"/>
      <c r="C134" s="28"/>
      <c r="D134" s="28"/>
      <c r="E134" s="30"/>
      <c r="F134" s="50" t="s">
        <v>106</v>
      </c>
      <c r="H134" s="28"/>
      <c r="I134" s="28"/>
      <c r="J134" s="28"/>
      <c r="K134" s="28"/>
      <c r="L134" s="28"/>
      <c r="M134" s="28"/>
    </row>
    <row r="135" spans="2:14" ht="18.75">
      <c r="B135" s="28"/>
      <c r="C135" s="28"/>
      <c r="D135" s="28"/>
      <c r="E135" s="30"/>
      <c r="F135" s="50" t="s">
        <v>133</v>
      </c>
      <c r="G135" s="28"/>
      <c r="H135" s="28"/>
      <c r="I135" s="28"/>
      <c r="J135" s="28"/>
      <c r="K135" s="28"/>
      <c r="L135" s="28"/>
      <c r="M135" s="28"/>
      <c r="N135" s="28"/>
    </row>
    <row r="136" spans="2:14">
      <c r="B136" s="28"/>
      <c r="C136" s="28"/>
      <c r="D136" s="40">
        <f>1-SQRT(1-2*D133)</f>
        <v>7.4820517324921121E-2</v>
      </c>
      <c r="E136" s="30"/>
      <c r="F136" s="28"/>
      <c r="G136" s="28"/>
      <c r="H136" s="28"/>
      <c r="I136" s="28"/>
      <c r="J136" s="28"/>
      <c r="K136" s="28"/>
      <c r="L136" s="28"/>
      <c r="M136" s="28"/>
      <c r="N136" s="28"/>
    </row>
    <row r="137" spans="2:14"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</row>
    <row r="138" spans="2:14" ht="18">
      <c r="C138" s="28"/>
      <c r="D138" s="28"/>
      <c r="E138" s="28"/>
      <c r="F138" s="28"/>
      <c r="G138" s="28"/>
      <c r="H138" s="47">
        <f>(0.85*20*100*D136*F131*100)/420</f>
        <v>5.9963300313258223</v>
      </c>
      <c r="I138" s="28" t="s">
        <v>107</v>
      </c>
      <c r="J138" s="28"/>
      <c r="K138" s="28"/>
      <c r="L138" s="28"/>
      <c r="M138" s="28"/>
      <c r="N138" s="28"/>
    </row>
    <row r="139" spans="2:14"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</row>
    <row r="140" spans="2:14"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</row>
    <row r="141" spans="2:14">
      <c r="B141" s="28" t="s">
        <v>108</v>
      </c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</row>
    <row r="142" spans="2:14"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</row>
    <row r="143" spans="2:14"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</row>
    <row r="144" spans="2:14" ht="18">
      <c r="B144" s="28"/>
      <c r="C144" s="28"/>
      <c r="D144" s="28"/>
      <c r="E144" s="36">
        <f>SQRT(20)*100*F131*100/(4*420)</f>
        <v>5.2707316612495037</v>
      </c>
      <c r="F144" s="28" t="s">
        <v>107</v>
      </c>
      <c r="G144" s="28"/>
      <c r="H144" s="28"/>
      <c r="I144" s="28"/>
      <c r="J144" s="28"/>
      <c r="K144" s="28"/>
      <c r="L144" s="28"/>
      <c r="M144" s="28"/>
      <c r="N144" s="28"/>
    </row>
    <row r="145" spans="2:14">
      <c r="B145" s="28"/>
      <c r="C145" s="28"/>
      <c r="D145" s="28"/>
      <c r="E145" s="28"/>
      <c r="F145" s="28"/>
      <c r="G145" s="28"/>
      <c r="I145" s="28"/>
      <c r="J145" s="28"/>
      <c r="K145" s="28"/>
      <c r="L145" s="28"/>
      <c r="M145" s="28"/>
    </row>
    <row r="146" spans="2:14"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</row>
    <row r="147" spans="2:14" ht="18">
      <c r="C147" s="28"/>
      <c r="D147" s="28"/>
      <c r="E147" s="36">
        <f>1.4*100*F131*100/420</f>
        <v>6.6000000000000014</v>
      </c>
      <c r="F147" s="28" t="s">
        <v>107</v>
      </c>
      <c r="G147" s="28" t="s">
        <v>109</v>
      </c>
      <c r="H147" s="28"/>
      <c r="I147" s="28"/>
      <c r="J147" s="28"/>
      <c r="K147" s="28"/>
      <c r="L147" s="28"/>
      <c r="M147" s="28"/>
      <c r="N147" s="28"/>
    </row>
    <row r="148" spans="2:14"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</row>
    <row r="149" spans="2:14" ht="18">
      <c r="B149" s="28"/>
      <c r="C149" s="28"/>
      <c r="D149" s="28"/>
      <c r="E149" s="28">
        <f>0.0018*100*F131*100</f>
        <v>3.5639999999999996</v>
      </c>
      <c r="F149" s="28" t="s">
        <v>107</v>
      </c>
      <c r="G149" s="28" t="s">
        <v>109</v>
      </c>
      <c r="J149" s="28"/>
      <c r="K149" s="28"/>
      <c r="L149" s="28"/>
      <c r="M149" s="28"/>
      <c r="N149" s="28"/>
    </row>
    <row r="150" spans="2:14">
      <c r="C150" s="28"/>
      <c r="D150" s="28"/>
      <c r="E150" s="28"/>
      <c r="F150" s="28"/>
      <c r="G150" s="28"/>
      <c r="I150" s="28"/>
      <c r="J150" s="28"/>
      <c r="K150" s="28"/>
      <c r="L150" s="28"/>
      <c r="M150" s="28"/>
      <c r="N150" s="28"/>
    </row>
    <row r="151" spans="2:14">
      <c r="C151" s="28" t="s">
        <v>144</v>
      </c>
      <c r="D151" s="28"/>
      <c r="E151" s="28"/>
      <c r="F151" s="28"/>
      <c r="G151" s="28"/>
      <c r="I151" s="28"/>
      <c r="J151" s="28"/>
      <c r="K151" s="28"/>
      <c r="L151" s="28"/>
      <c r="M151" s="28"/>
      <c r="N151" s="28"/>
    </row>
    <row r="152" spans="2:14">
      <c r="B152" s="28"/>
      <c r="C152" s="28"/>
      <c r="D152" s="28"/>
      <c r="E152" s="28"/>
      <c r="F152" s="28"/>
      <c r="G152" s="28"/>
      <c r="I152" s="28"/>
      <c r="J152" s="28"/>
      <c r="K152" s="28"/>
      <c r="L152" s="28"/>
      <c r="M152" s="28"/>
      <c r="N152" s="28"/>
    </row>
    <row r="153" spans="2:14">
      <c r="B153" s="48" t="s">
        <v>110</v>
      </c>
      <c r="C153" s="28"/>
      <c r="D153" s="28"/>
      <c r="E153" s="28"/>
      <c r="F153" s="28"/>
      <c r="I153" s="28"/>
      <c r="J153" s="28"/>
      <c r="K153" s="28"/>
      <c r="L153" s="28"/>
      <c r="M153" s="28"/>
      <c r="N153" s="28"/>
    </row>
    <row r="154" spans="2:14">
      <c r="B154" s="28"/>
      <c r="C154" s="28"/>
      <c r="D154" s="28"/>
      <c r="E154" s="28"/>
      <c r="F154" s="28"/>
      <c r="G154" s="28"/>
      <c r="I154" s="28"/>
      <c r="J154" s="28"/>
      <c r="K154" s="28"/>
      <c r="L154" s="28"/>
      <c r="M154" s="28"/>
      <c r="N154" s="28"/>
    </row>
    <row r="155" spans="2:14">
      <c r="B155" s="28"/>
      <c r="D155" s="35">
        <f>1.6*D123/100</f>
        <v>43.200000013641578</v>
      </c>
      <c r="E155" s="28" t="s">
        <v>111</v>
      </c>
      <c r="G155" s="33" t="s">
        <v>123</v>
      </c>
      <c r="I155" s="28"/>
      <c r="J155" s="28"/>
      <c r="K155" s="28"/>
      <c r="L155" s="28"/>
      <c r="M155" s="28"/>
      <c r="N155" s="28"/>
    </row>
    <row r="156" spans="2:14">
      <c r="B156" s="28"/>
      <c r="C156" s="28"/>
      <c r="D156" s="28"/>
      <c r="E156" s="28"/>
      <c r="F156" s="28"/>
      <c r="G156" s="28"/>
      <c r="I156" s="28"/>
      <c r="J156" s="28"/>
      <c r="K156" s="28"/>
      <c r="L156" s="28"/>
      <c r="M156" s="28"/>
      <c r="N156" s="28"/>
    </row>
    <row r="157" spans="2:14">
      <c r="B157" s="28"/>
      <c r="D157" s="35">
        <f>D155/0.75</f>
        <v>57.600000018188773</v>
      </c>
      <c r="E157" s="28" t="s">
        <v>111</v>
      </c>
      <c r="G157" s="33" t="s">
        <v>113</v>
      </c>
      <c r="I157" s="28"/>
      <c r="J157" s="28"/>
      <c r="K157" s="28"/>
      <c r="L157" s="28"/>
      <c r="M157" s="28"/>
      <c r="N157" s="28"/>
    </row>
    <row r="158" spans="2:14" ht="16.5" customHeight="1">
      <c r="B158" s="28"/>
      <c r="C158" s="28"/>
      <c r="D158" s="28"/>
      <c r="E158" s="28"/>
      <c r="F158" s="28"/>
      <c r="G158" s="33" t="s">
        <v>124</v>
      </c>
      <c r="I158" s="28"/>
      <c r="J158" s="28"/>
      <c r="K158" s="28"/>
      <c r="L158" s="28"/>
      <c r="M158" s="28"/>
      <c r="N158" s="28"/>
    </row>
    <row r="159" spans="2:14" ht="18">
      <c r="B159" s="28"/>
      <c r="D159" s="36">
        <f>1/6*SQRT(20)*1*F131*1000</f>
        <v>147.58048651498612</v>
      </c>
      <c r="E159" s="28" t="s">
        <v>112</v>
      </c>
      <c r="G159" s="33" t="s">
        <v>114</v>
      </c>
      <c r="I159" s="28"/>
      <c r="J159" s="28"/>
      <c r="K159" s="28"/>
      <c r="L159" s="28"/>
      <c r="M159" s="28"/>
      <c r="N159" s="28"/>
    </row>
    <row r="160" spans="2:14">
      <c r="B160" s="28"/>
      <c r="C160" s="28"/>
      <c r="D160" s="28"/>
      <c r="E160" s="28"/>
      <c r="F160" s="28"/>
      <c r="G160" s="28"/>
      <c r="I160" s="28"/>
      <c r="J160" s="28"/>
      <c r="K160" s="28"/>
      <c r="L160" s="28"/>
      <c r="M160" s="28"/>
      <c r="N160" s="28"/>
    </row>
    <row r="161" spans="2:14">
      <c r="B161" s="28" t="s">
        <v>115</v>
      </c>
      <c r="C161" s="28"/>
      <c r="D161" s="28"/>
      <c r="E161" s="28"/>
      <c r="F161" s="28"/>
      <c r="G161" s="28"/>
      <c r="I161" s="28" t="s">
        <v>116</v>
      </c>
      <c r="J161" s="28"/>
      <c r="K161" s="28"/>
      <c r="L161" s="28"/>
      <c r="M161" s="28"/>
      <c r="N161" s="28"/>
    </row>
    <row r="162" spans="2:14" ht="5.25" customHeight="1">
      <c r="B162" s="28"/>
      <c r="C162" s="28"/>
      <c r="D162" s="28"/>
      <c r="E162" s="28"/>
      <c r="F162" s="28"/>
      <c r="G162" s="28"/>
      <c r="I162" s="28"/>
      <c r="J162" s="28"/>
      <c r="K162" s="28"/>
      <c r="L162" s="28"/>
      <c r="M162" s="28"/>
      <c r="N162" s="28"/>
    </row>
    <row r="163" spans="2:14">
      <c r="B163" s="28"/>
      <c r="C163" s="28"/>
      <c r="D163" s="28"/>
      <c r="E163" s="28"/>
      <c r="F163" s="28"/>
      <c r="G163" s="28"/>
      <c r="I163" s="28"/>
      <c r="J163" s="28"/>
      <c r="K163" s="28"/>
      <c r="L163" s="28"/>
      <c r="M163" s="28"/>
      <c r="N163" s="28"/>
    </row>
    <row r="164" spans="2:14" ht="15.75">
      <c r="B164" s="4" t="s">
        <v>69</v>
      </c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</row>
    <row r="165" spans="2:14">
      <c r="B165" s="28"/>
      <c r="C165" s="28"/>
      <c r="D165" s="28"/>
      <c r="E165" s="28"/>
      <c r="F165" s="28"/>
      <c r="H165" s="28"/>
      <c r="I165" s="28"/>
      <c r="J165" s="28"/>
      <c r="K165" s="28"/>
      <c r="L165" s="28"/>
      <c r="M165" s="28"/>
      <c r="N165" s="28"/>
    </row>
    <row r="166" spans="2:14">
      <c r="B166" s="28" t="s">
        <v>90</v>
      </c>
      <c r="C166" s="28"/>
      <c r="D166" s="28"/>
      <c r="E166" s="28">
        <f>C21</f>
        <v>0.25</v>
      </c>
      <c r="F166" s="28" t="s">
        <v>64</v>
      </c>
      <c r="G166" s="28"/>
      <c r="H166" s="28"/>
      <c r="I166" s="28"/>
      <c r="K166" s="28"/>
      <c r="L166" s="28"/>
      <c r="M166" s="28"/>
      <c r="N166" s="28"/>
    </row>
    <row r="167" spans="2:14"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</row>
    <row r="168" spans="2:14" ht="18">
      <c r="C168" s="28"/>
      <c r="D168" s="43" t="s">
        <v>137</v>
      </c>
      <c r="E168" s="28"/>
      <c r="F168" s="28"/>
      <c r="G168" s="28"/>
      <c r="H168" s="28" t="s">
        <v>138</v>
      </c>
      <c r="I168" s="28"/>
      <c r="J168" s="28"/>
      <c r="K168" s="28"/>
      <c r="L168" s="28"/>
      <c r="M168" s="28"/>
      <c r="N168" s="28"/>
    </row>
    <row r="169" spans="2:14" ht="4.5" customHeight="1">
      <c r="C169" s="28"/>
      <c r="D169" s="43"/>
      <c r="E169" s="28"/>
      <c r="F169" s="28"/>
      <c r="G169" s="28"/>
      <c r="H169" s="28"/>
      <c r="I169" s="28"/>
      <c r="J169" s="28"/>
      <c r="K169" s="28"/>
      <c r="L169" s="28"/>
      <c r="M169" s="28"/>
      <c r="N169" s="28"/>
    </row>
    <row r="170" spans="2:14" ht="12" customHeight="1">
      <c r="C170" s="28"/>
      <c r="D170" s="43"/>
      <c r="E170" s="28"/>
      <c r="F170" s="28"/>
      <c r="G170" s="28"/>
      <c r="H170" s="28"/>
      <c r="I170" s="28"/>
      <c r="J170" s="28"/>
      <c r="K170" s="28"/>
      <c r="L170" s="28"/>
      <c r="M170" s="28"/>
      <c r="N170" s="28"/>
    </row>
    <row r="171" spans="2:14" ht="2.1" customHeight="1"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</row>
    <row r="172" spans="2:14" ht="2.1" customHeight="1">
      <c r="B172" s="4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</row>
    <row r="173" spans="2:14" ht="2.1" customHeight="1">
      <c r="B173" s="4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</row>
    <row r="174" spans="2:14" ht="2.1" customHeight="1">
      <c r="B174" s="1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</row>
    <row r="175" spans="2:14" ht="2.1" customHeight="1"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</row>
    <row r="176" spans="2:14" ht="2.1" customHeight="1"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</row>
    <row r="177" spans="2:14" ht="2.1" customHeight="1">
      <c r="B177" s="4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</row>
    <row r="178" spans="2:14" ht="2.1" customHeight="1"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</row>
    <row r="179" spans="2:14" ht="2.1" customHeight="1">
      <c r="C179" s="28"/>
      <c r="D179" s="28"/>
      <c r="E179" s="28"/>
      <c r="F179" s="28"/>
      <c r="G179" s="28"/>
      <c r="H179" s="36"/>
      <c r="I179" s="28"/>
      <c r="J179" s="28"/>
      <c r="K179" s="28"/>
      <c r="L179" s="28"/>
      <c r="M179" s="28"/>
    </row>
    <row r="180" spans="2:14" ht="2.1" customHeight="1"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</row>
    <row r="181" spans="2:14" ht="2.1" customHeight="1"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</row>
    <row r="182" spans="2:14" ht="2.1" customHeight="1">
      <c r="D182" s="28"/>
      <c r="E182" s="28"/>
      <c r="F182" s="28"/>
      <c r="H182" s="28"/>
      <c r="I182" s="28"/>
      <c r="J182" s="28"/>
      <c r="K182" s="28"/>
      <c r="L182" s="28"/>
      <c r="M182" s="28"/>
      <c r="N182" s="28"/>
    </row>
    <row r="183" spans="2:14" ht="2.1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</row>
    <row r="184" spans="2:14" ht="2.1" customHeight="1">
      <c r="C184" s="28"/>
      <c r="D184" s="28"/>
      <c r="E184" s="28"/>
      <c r="F184" s="37"/>
      <c r="G184" s="28"/>
      <c r="I184" s="28"/>
      <c r="J184" s="28"/>
      <c r="K184" s="28"/>
      <c r="L184" s="28"/>
      <c r="M184" s="28"/>
      <c r="N184" s="28"/>
    </row>
    <row r="185" spans="2:14" ht="2.1" customHeight="1">
      <c r="C185" s="28"/>
      <c r="D185" s="28"/>
      <c r="E185" s="28"/>
      <c r="F185" s="37"/>
      <c r="G185" s="28"/>
      <c r="I185" s="28"/>
      <c r="J185" s="28"/>
      <c r="K185" s="28"/>
      <c r="L185" s="28"/>
      <c r="M185" s="28"/>
      <c r="N185" s="28"/>
    </row>
    <row r="186" spans="2:14" ht="2.1" customHeight="1"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</row>
    <row r="187" spans="2:14" ht="2.1" customHeight="1">
      <c r="C187" s="28"/>
      <c r="D187" s="49"/>
      <c r="F187" s="30"/>
      <c r="H187" s="28"/>
      <c r="I187" s="28"/>
      <c r="J187" s="28"/>
      <c r="K187" s="28"/>
      <c r="L187" s="28"/>
      <c r="M187" s="28"/>
      <c r="N187" s="28"/>
    </row>
    <row r="188" spans="2:14" ht="2.1" customHeight="1">
      <c r="B188" s="28"/>
      <c r="C188" s="28"/>
      <c r="D188" s="28"/>
      <c r="F188" s="30"/>
      <c r="G188" s="30"/>
      <c r="H188" s="28"/>
      <c r="I188" s="28"/>
      <c r="J188" s="28"/>
      <c r="K188" s="28"/>
      <c r="L188" s="28"/>
      <c r="M188" s="28"/>
      <c r="N188" s="28"/>
    </row>
    <row r="189" spans="2:14">
      <c r="C189" s="28"/>
      <c r="D189" s="49"/>
      <c r="F189" s="30"/>
      <c r="G189" s="30"/>
      <c r="H189" s="28"/>
      <c r="I189" s="28"/>
      <c r="J189" s="28"/>
      <c r="K189" s="28"/>
      <c r="L189" s="28"/>
      <c r="M189" s="28"/>
      <c r="N189" s="28"/>
    </row>
    <row r="190" spans="2:14">
      <c r="B190" s="28"/>
      <c r="C190" s="28"/>
      <c r="D190" s="28"/>
      <c r="F190" s="30"/>
      <c r="G190" s="30"/>
      <c r="H190" s="28"/>
      <c r="I190" s="28"/>
      <c r="J190" s="28"/>
      <c r="K190" s="28"/>
      <c r="L190" s="28"/>
      <c r="M190" s="28"/>
      <c r="N190" s="28"/>
    </row>
    <row r="191" spans="2:14" ht="2.1" customHeight="1">
      <c r="C191" s="28"/>
      <c r="D191" s="28"/>
      <c r="F191" s="30"/>
      <c r="G191" s="30"/>
      <c r="H191" s="28"/>
      <c r="J191" s="28"/>
      <c r="K191" s="28"/>
      <c r="L191" s="28"/>
      <c r="M191" s="28"/>
      <c r="N191" s="28"/>
    </row>
    <row r="192" spans="2:14" ht="2.1" customHeight="1">
      <c r="B192" s="28"/>
      <c r="C192" s="28"/>
      <c r="D192" s="28"/>
      <c r="F192" s="30"/>
      <c r="G192" s="30"/>
      <c r="H192" s="28"/>
      <c r="I192" s="28"/>
      <c r="J192" s="28"/>
      <c r="K192" s="28"/>
      <c r="L192" s="28"/>
      <c r="M192" s="28"/>
    </row>
    <row r="193" spans="2:14" ht="2.1" customHeight="1">
      <c r="C193" s="28"/>
      <c r="D193" s="28"/>
      <c r="E193" s="23"/>
      <c r="F193" s="28"/>
      <c r="G193" s="28"/>
      <c r="H193" s="28"/>
      <c r="I193" s="28"/>
      <c r="J193" s="28"/>
      <c r="K193" s="28"/>
      <c r="L193" s="28"/>
      <c r="M193" s="28"/>
    </row>
    <row r="194" spans="2:14" ht="2.1" customHeight="1"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</row>
    <row r="195" spans="2:14" ht="2.1" customHeight="1"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</row>
    <row r="196" spans="2:14" ht="2.1" customHeight="1">
      <c r="B196" s="4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</row>
    <row r="197" spans="2:14" ht="2.1" customHeight="1">
      <c r="B197" s="4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</row>
    <row r="198" spans="2:14">
      <c r="C198" s="28"/>
      <c r="D198" s="28"/>
      <c r="E198" s="28"/>
      <c r="F198" s="28"/>
      <c r="G198" s="36"/>
      <c r="H198" s="28"/>
      <c r="I198" s="28"/>
      <c r="J198" s="28"/>
      <c r="K198" s="28"/>
      <c r="L198" s="28"/>
      <c r="M198" s="28"/>
      <c r="N198" s="28"/>
    </row>
    <row r="199" spans="2:14"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</row>
    <row r="200" spans="2:14"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</row>
    <row r="201" spans="2:14">
      <c r="B201" s="28"/>
      <c r="C201" s="28"/>
      <c r="D201" s="28"/>
      <c r="E201" s="28"/>
      <c r="F201" s="28"/>
      <c r="H201" s="28"/>
      <c r="I201" s="28"/>
      <c r="J201" s="28"/>
      <c r="K201" s="28"/>
      <c r="L201" s="28"/>
      <c r="M201" s="28"/>
    </row>
    <row r="202" spans="2:14">
      <c r="B202" s="28"/>
      <c r="C202" s="28"/>
      <c r="D202" s="28"/>
      <c r="E202" s="28"/>
      <c r="F202" s="28"/>
      <c r="G202" s="28"/>
      <c r="H202" s="28"/>
      <c r="J202" s="28"/>
      <c r="K202" s="28"/>
      <c r="L202" s="28"/>
      <c r="M202" s="28"/>
      <c r="N202" s="28"/>
    </row>
    <row r="203" spans="2:14"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</row>
    <row r="204" spans="2:14"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</row>
    <row r="205" spans="2:14" ht="24.75" customHeight="1"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</row>
    <row r="206" spans="2:14" ht="15.75">
      <c r="B206" s="4" t="s">
        <v>140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</row>
    <row r="207" spans="2:14"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</row>
    <row r="208" spans="2:14">
      <c r="B208" s="48" t="s">
        <v>122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</row>
    <row r="209" spans="2:14" ht="7.5" customHeight="1"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</row>
    <row r="210" spans="2:14">
      <c r="B210" s="28" t="s">
        <v>121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</row>
    <row r="211" spans="2:14" ht="10.5" customHeight="1"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</row>
    <row r="212" spans="2:14"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</row>
    <row r="213" spans="2:14">
      <c r="C213" s="28"/>
      <c r="D213" s="28"/>
      <c r="E213" s="28"/>
      <c r="F213" s="28"/>
      <c r="G213" s="28"/>
      <c r="H213" s="28"/>
      <c r="I213" s="28"/>
      <c r="J213" s="51">
        <f>1.6*(C32*(C25-C24)*C23*C23/2)+1.2*(C33*C24*C23*C23/2)-1.6*(F118*C23*C23/2+(D118-F118)*C23*C23/6)*10000</f>
        <v>5051.1485998509743</v>
      </c>
      <c r="K213" s="28" t="s">
        <v>79</v>
      </c>
      <c r="M213" s="28"/>
      <c r="N213" s="28"/>
    </row>
    <row r="214" spans="2:14"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</row>
    <row r="215" spans="2:14"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</row>
    <row r="216" spans="2:14">
      <c r="B216" s="28"/>
      <c r="C216" s="28"/>
      <c r="D216" s="37">
        <f>(J213/0.9)/100</f>
        <v>56.123873331677487</v>
      </c>
      <c r="E216" s="28" t="s">
        <v>117</v>
      </c>
      <c r="F216" s="28"/>
      <c r="G216" s="28"/>
      <c r="H216" s="28"/>
      <c r="I216" s="28"/>
      <c r="J216" s="28"/>
      <c r="K216" s="28"/>
      <c r="L216" s="28"/>
      <c r="M216" s="28"/>
      <c r="N216" s="28"/>
    </row>
    <row r="217" spans="2:14">
      <c r="B217" s="28"/>
      <c r="C217" s="28"/>
      <c r="D217" s="28"/>
      <c r="E217" s="28"/>
      <c r="F217" s="28"/>
      <c r="G217" s="28"/>
      <c r="I217" s="28"/>
      <c r="J217" s="28"/>
      <c r="K217" s="28"/>
      <c r="L217" s="28"/>
      <c r="M217" s="28"/>
      <c r="N217" s="28"/>
    </row>
    <row r="218" spans="2:14">
      <c r="B218" s="28"/>
      <c r="C218" s="28"/>
      <c r="D218" s="28"/>
      <c r="E218" s="28"/>
      <c r="F218" s="37">
        <f>C24-0.04-0.00785</f>
        <v>0.25214999999999999</v>
      </c>
      <c r="G218" s="28" t="s">
        <v>64</v>
      </c>
      <c r="I218" s="28"/>
      <c r="J218" s="28"/>
      <c r="K218" s="28"/>
      <c r="L218" s="28"/>
      <c r="M218" s="28"/>
      <c r="N218" s="28"/>
    </row>
    <row r="219" spans="2:14"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</row>
    <row r="220" spans="2:14">
      <c r="B220" s="28"/>
      <c r="C220" s="28"/>
      <c r="D220" s="28">
        <f>D216/(0.85*20000*1*F218*F218)</f>
        <v>5.1925509838126008E-2</v>
      </c>
      <c r="E220" s="28"/>
      <c r="F220" s="28"/>
      <c r="G220" s="28"/>
      <c r="H220" s="28"/>
      <c r="I220" s="28"/>
      <c r="J220" s="28"/>
      <c r="K220" s="28"/>
      <c r="L220" s="28"/>
      <c r="M220" s="28"/>
      <c r="N220" s="28"/>
    </row>
    <row r="221" spans="2:14">
      <c r="B221" s="28"/>
      <c r="C221" s="28"/>
      <c r="D221" s="28"/>
      <c r="E221" s="28"/>
      <c r="G221" s="28"/>
      <c r="I221" s="28"/>
      <c r="J221" s="28"/>
      <c r="K221" s="28"/>
      <c r="L221" s="28"/>
      <c r="M221" s="28"/>
      <c r="N221" s="28"/>
    </row>
    <row r="222" spans="2:14"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</row>
    <row r="223" spans="2:14">
      <c r="B223" s="28"/>
      <c r="C223" s="28"/>
      <c r="D223" s="28">
        <f>1-SQRT(1-2*D220)</f>
        <v>5.3348543378425872E-2</v>
      </c>
      <c r="E223" s="28"/>
      <c r="G223" s="28"/>
      <c r="H223" s="28"/>
      <c r="I223" s="28"/>
      <c r="J223" s="28"/>
      <c r="K223" s="28"/>
      <c r="L223" s="28"/>
      <c r="M223" s="28"/>
      <c r="N223" s="28"/>
    </row>
    <row r="224" spans="2:14"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</row>
    <row r="225" spans="2:14" ht="18">
      <c r="B225" s="28"/>
      <c r="C225" s="28"/>
      <c r="D225" s="28"/>
      <c r="E225" s="28"/>
      <c r="F225" s="28"/>
      <c r="G225" s="37">
        <f>0.85*20*100*D223*F218*100/420</f>
        <v>5.4447904433045586</v>
      </c>
      <c r="H225" s="28" t="s">
        <v>142</v>
      </c>
      <c r="I225" s="28"/>
      <c r="J225" s="28"/>
      <c r="K225" s="28"/>
      <c r="L225" s="28"/>
      <c r="M225" s="28"/>
      <c r="N225" s="28"/>
    </row>
    <row r="226" spans="2:14"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</row>
    <row r="227" spans="2:14" ht="18">
      <c r="C227" s="28"/>
      <c r="D227" s="28"/>
      <c r="E227" s="23">
        <f>0.0018*100*C24*100</f>
        <v>5.4</v>
      </c>
      <c r="F227" s="28" t="s">
        <v>141</v>
      </c>
      <c r="G227" s="28" t="s">
        <v>118</v>
      </c>
      <c r="H227" s="28" t="s">
        <v>119</v>
      </c>
      <c r="I227" s="28"/>
      <c r="J227" s="28"/>
      <c r="K227" s="28"/>
      <c r="L227" s="28"/>
      <c r="M227" s="28"/>
      <c r="N227" s="28"/>
    </row>
    <row r="228" spans="2:14">
      <c r="B228" s="28"/>
      <c r="C228" s="28"/>
      <c r="D228" s="28"/>
      <c r="E228" s="28"/>
      <c r="H228" s="28"/>
      <c r="I228" s="28"/>
      <c r="J228" s="28"/>
      <c r="K228" s="28"/>
      <c r="L228" s="28"/>
      <c r="M228" s="28"/>
      <c r="N228" s="28"/>
    </row>
    <row r="229" spans="2:14" ht="8.25" customHeight="1"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</row>
    <row r="230" spans="2:14">
      <c r="B230" s="48" t="s">
        <v>120</v>
      </c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</row>
    <row r="231" spans="2:14"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</row>
    <row r="232" spans="2:14">
      <c r="C232" s="28"/>
      <c r="D232" s="28"/>
      <c r="E232" s="28"/>
      <c r="F232" s="28"/>
      <c r="G232" s="28"/>
      <c r="H232" s="64">
        <f>(1.6*(C32*C23*(C25-C24))+1.2*C33*C24*C23-1.6*(F118*10000*C23+(D118-F118)*10000*C23/2))/100</f>
        <v>-4.2340442665975209</v>
      </c>
      <c r="I232" s="64"/>
      <c r="J232" s="28" t="s">
        <v>111</v>
      </c>
      <c r="K232" s="28"/>
      <c r="L232" s="28"/>
      <c r="M232" s="28"/>
      <c r="N232" s="28"/>
    </row>
    <row r="233" spans="2:14"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</row>
    <row r="234" spans="2:14" ht="15.75">
      <c r="B234" s="4"/>
      <c r="C234" s="28"/>
      <c r="D234" s="37">
        <f>H232/0.75</f>
        <v>-5.6453923554633612</v>
      </c>
      <c r="E234" s="28" t="s">
        <v>111</v>
      </c>
      <c r="F234" s="28"/>
      <c r="G234" s="28"/>
      <c r="H234" s="28"/>
      <c r="I234" s="28"/>
      <c r="J234" s="28"/>
      <c r="K234" s="28"/>
      <c r="L234" s="28"/>
      <c r="M234" s="28"/>
      <c r="N234" s="28"/>
    </row>
    <row r="235" spans="2:14"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</row>
    <row r="236" spans="2:14" ht="18">
      <c r="B236" s="28"/>
      <c r="C236" s="28"/>
      <c r="D236" s="28">
        <f>1/6*SQRT(20)*1*F218*1000</f>
        <v>187.94151350885733</v>
      </c>
      <c r="E236" s="28" t="s">
        <v>112</v>
      </c>
      <c r="F236" s="28"/>
      <c r="G236" s="28" t="s">
        <v>109</v>
      </c>
      <c r="H236" s="28"/>
      <c r="I236" s="28"/>
      <c r="J236" s="28"/>
      <c r="K236" s="28"/>
      <c r="L236" s="28"/>
      <c r="M236" s="28"/>
      <c r="N236" s="28"/>
    </row>
    <row r="237" spans="2:14"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</row>
    <row r="238" spans="2:14"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</row>
    <row r="239" spans="2:14"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</row>
    <row r="240" spans="2:14" ht="15.75">
      <c r="B240" s="4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</row>
    <row r="241" spans="2:14" ht="15.75">
      <c r="B241" s="4"/>
      <c r="C241" s="28"/>
      <c r="D241" s="28"/>
      <c r="E241" s="28"/>
      <c r="F241" s="28"/>
      <c r="G241" s="28"/>
      <c r="I241" s="28"/>
      <c r="J241" s="28"/>
      <c r="K241" s="28"/>
      <c r="L241" s="28"/>
      <c r="M241" s="28"/>
      <c r="N241" s="28"/>
    </row>
    <row r="242" spans="2:14" ht="15.75">
      <c r="B242" s="4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</row>
    <row r="243" spans="2:14"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</row>
    <row r="244" spans="2:14" ht="15.75">
      <c r="B244" s="4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</row>
    <row r="245" spans="2:14" ht="15.75">
      <c r="B245" s="4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</row>
    <row r="246" spans="2:14" ht="15.75">
      <c r="B246" s="4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</row>
    <row r="247" spans="2:14"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</row>
    <row r="248" spans="2:14" ht="15.75">
      <c r="B248" s="4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</row>
    <row r="249" spans="2:14">
      <c r="B249" s="28"/>
      <c r="C249" s="28"/>
      <c r="D249" s="28"/>
      <c r="E249" s="28"/>
      <c r="F249" s="28"/>
      <c r="G249" s="28"/>
      <c r="I249" s="28"/>
      <c r="J249" s="28"/>
      <c r="K249" s="28"/>
      <c r="L249" s="28"/>
      <c r="M249" s="28"/>
      <c r="N249" s="28"/>
    </row>
    <row r="250" spans="2:14"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</row>
    <row r="251" spans="2:14">
      <c r="B251" s="28"/>
      <c r="C251" s="28"/>
      <c r="D251" s="28"/>
      <c r="E251" s="28"/>
      <c r="F251" s="28"/>
      <c r="G251" s="28"/>
      <c r="I251" s="28"/>
      <c r="J251" s="28"/>
      <c r="K251" s="28"/>
      <c r="L251" s="28"/>
      <c r="M251" s="28"/>
      <c r="N251" s="28"/>
    </row>
    <row r="252" spans="2:14"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</row>
    <row r="253" spans="2:14"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</row>
    <row r="254" spans="2:14"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</row>
    <row r="255" spans="2:14"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</row>
    <row r="256" spans="2:14"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</row>
    <row r="257" spans="2:14"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</row>
    <row r="258" spans="2:14"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</row>
    <row r="259" spans="2:14"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</row>
    <row r="260" spans="2:14"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</row>
    <row r="261" spans="2:14"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</row>
    <row r="262" spans="2:14"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</row>
    <row r="263" spans="2:14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</row>
    <row r="264" spans="2:14"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</row>
    <row r="265" spans="2:14"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</row>
    <row r="266" spans="2:14"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</row>
    <row r="267" spans="2:14"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</row>
    <row r="268" spans="2:14"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</row>
    <row r="269" spans="2:14"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</row>
    <row r="270" spans="2:14"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</row>
    <row r="271" spans="2:14"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</row>
    <row r="272" spans="2:14"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</row>
    <row r="273" spans="2:14"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</row>
    <row r="274" spans="2:14"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</row>
    <row r="275" spans="2:14"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</row>
    <row r="276" spans="2:14"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</row>
    <row r="277" spans="2:14"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</row>
    <row r="278" spans="2:14"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</row>
    <row r="279" spans="2:14"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</row>
    <row r="280" spans="2:14"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</row>
    <row r="281" spans="2:14"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</row>
    <row r="282" spans="2:14"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</row>
    <row r="283" spans="2:14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</row>
    <row r="284" spans="2:14"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</row>
    <row r="285" spans="2:14"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</row>
    <row r="286" spans="2:14"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</row>
    <row r="287" spans="2:14"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</row>
    <row r="288" spans="2:14"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</row>
    <row r="289" spans="2:14"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</row>
    <row r="290" spans="2:14"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</row>
    <row r="291" spans="2:14"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</row>
    <row r="292" spans="2:14"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</row>
    <row r="293" spans="2:14"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</row>
    <row r="294" spans="2:14"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</row>
    <row r="295" spans="2:14"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</row>
    <row r="296" spans="2:14"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</row>
    <row r="297" spans="2:14"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</row>
    <row r="298" spans="2:14"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</row>
    <row r="299" spans="2:14"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</row>
    <row r="300" spans="2:14"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</row>
    <row r="301" spans="2:14"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</row>
    <row r="302" spans="2:14"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</row>
    <row r="303" spans="2:14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</row>
    <row r="304" spans="2:14"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</row>
    <row r="305" spans="2:14"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</row>
    <row r="306" spans="2:14"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</row>
    <row r="307" spans="2:14"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</row>
  </sheetData>
  <mergeCells count="19">
    <mergeCell ref="H232:I232"/>
    <mergeCell ref="B120:F120"/>
    <mergeCell ref="G119:L119"/>
    <mergeCell ref="H42:I42"/>
    <mergeCell ref="H43:I43"/>
    <mergeCell ref="H44:I44"/>
    <mergeCell ref="K112:L112"/>
    <mergeCell ref="H40:I40"/>
    <mergeCell ref="H41:I41"/>
    <mergeCell ref="D43:E43"/>
    <mergeCell ref="D44:E44"/>
    <mergeCell ref="F42:G42"/>
    <mergeCell ref="F43:G43"/>
    <mergeCell ref="F44:G44"/>
    <mergeCell ref="F40:G40"/>
    <mergeCell ref="F41:G41"/>
    <mergeCell ref="D40:E40"/>
    <mergeCell ref="D41:E41"/>
    <mergeCell ref="D42:E42"/>
  </mergeCells>
  <pageMargins left="0.25" right="0.25" top="1.75" bottom="0" header="0.3" footer="0.3"/>
  <pageSetup orientation="portrait" r:id="rId1"/>
  <drawing r:id="rId2"/>
  <legacyDrawing r:id="rId3"/>
  <oleObjects>
    <oleObject progId="Equation.3" shapeId="2064" r:id="rId4"/>
    <oleObject progId="Equation.3" shapeId="2067" r:id="rId5"/>
    <oleObject progId="Equation.3" shapeId="2068" r:id="rId6"/>
    <oleObject progId="Equation.3" shapeId="2069" r:id="rId7"/>
    <oleObject progId="Equation.3" shapeId="2073" r:id="rId8"/>
    <oleObject progId="Equation.3" shapeId="2074" r:id="rId9"/>
    <oleObject progId="Equation.3" shapeId="2075" r:id="rId10"/>
    <oleObject progId="Equation.3" shapeId="2077" r:id="rId11"/>
    <oleObject progId="Equation.3" shapeId="2078" r:id="rId12"/>
    <oleObject progId="Equation.3" shapeId="2081" r:id="rId13"/>
    <oleObject progId="Equation.3" shapeId="2082" r:id="rId14"/>
    <oleObject progId="Equation.3" shapeId="2083" r:id="rId15"/>
    <oleObject progId="Equation.3" shapeId="2084" r:id="rId16"/>
    <oleObject progId="Equation.3" shapeId="2085" r:id="rId17"/>
    <oleObject progId="Equation.3" shapeId="2090" r:id="rId18"/>
    <oleObject progId="Equation.3" shapeId="2091" r:id="rId19"/>
    <oleObject progId="Equation.3" shapeId="2094" r:id="rId20"/>
    <oleObject progId="Equation.3" shapeId="2095" r:id="rId21"/>
    <oleObject progId="Equation.3" shapeId="2098" r:id="rId22"/>
    <oleObject progId="Equation.3" shapeId="2099" r:id="rId23"/>
    <oleObject progId="Equation.3" shapeId="2100" r:id="rId24"/>
    <oleObject progId="Equation.3" shapeId="2109" r:id="rId25"/>
    <oleObject progId="Equation.3" shapeId="2152" r:id="rId26"/>
    <oleObject progId="Equation.3" shapeId="2153" r:id="rId27"/>
    <oleObject progId="Equation.3" shapeId="2154" r:id="rId28"/>
    <oleObject progId="Equation.3" shapeId="2155" r:id="rId29"/>
    <oleObject progId="Equation.3" shapeId="2156" r:id="rId30"/>
    <oleObject progId="Equation.3" shapeId="2157" r:id="rId31"/>
    <oleObject progId="Equation.3" shapeId="2158" r:id="rId32"/>
    <oleObject progId="Equation.3" shapeId="2159" r:id="rId33"/>
    <oleObject progId="Equation.3" shapeId="2160" r:id="rId34"/>
    <oleObject progId="Equation.3" shapeId="2161" r:id="rId35"/>
    <oleObject progId="Equation.3" shapeId="2162" r:id="rId36"/>
    <oleObject progId="Equation.3" shapeId="2174" r:id="rId37"/>
    <oleObject progId="Equation.3" shapeId="2175" r:id="rId38"/>
    <oleObject progId="Equation.3" shapeId="2177" r:id="rId39"/>
    <oleObject progId="Equation.3" shapeId="2178" r:id="rId40"/>
    <oleObject progId="Equation.3" shapeId="2179" r:id="rId41"/>
    <oleObject progId="Equation.3" shapeId="2180" r:id="rId42"/>
    <oleObject progId="Equation.3" shapeId="2182" r:id="rId43"/>
    <oleObject progId="Equation.3" shapeId="2183" r:id="rId44"/>
    <oleObject progId="Equation.3" shapeId="2184" r:id="rId45"/>
    <oleObject progId="Equation.3" shapeId="2188" r:id="rId46"/>
    <oleObject progId="Equation.3" shapeId="2189" r:id="rId47"/>
    <oleObject progId="Equation.3" shapeId="2190" r:id="rId48"/>
    <oleObject progId="Equation.3" shapeId="2192" r:id="rId49"/>
    <oleObject progId="Equation.3" shapeId="2196" r:id="rId50"/>
  </oleObjects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4" workbookViewId="0">
      <selection activeCell="H25" sqref="H25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01-Datos y Cargas</vt:lpstr>
      <vt:lpstr>02-Verificación Estabilidad </vt:lpstr>
      <vt:lpstr>03-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</dc:creator>
  <cp:lastModifiedBy>Fernando</cp:lastModifiedBy>
  <cp:lastPrinted>2014-08-11T14:09:49Z</cp:lastPrinted>
  <dcterms:created xsi:type="dcterms:W3CDTF">2012-09-23T18:03:53Z</dcterms:created>
  <dcterms:modified xsi:type="dcterms:W3CDTF">2017-11-11T12:42:10Z</dcterms:modified>
</cp:coreProperties>
</file>